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ank Book\"/>
    </mc:Choice>
  </mc:AlternateContent>
  <bookViews>
    <workbookView xWindow="0" yWindow="0" windowWidth="20490" windowHeight="7530" firstSheet="6" activeTab="9"/>
  </bookViews>
  <sheets>
    <sheet name="Mar" sheetId="1" r:id="rId1"/>
    <sheet name="Apr" sheetId="2" r:id="rId2"/>
    <sheet name="May" sheetId="3" r:id="rId3"/>
    <sheet name="June" sheetId="5" r:id="rId4"/>
    <sheet name="July" sheetId="4" r:id="rId5"/>
    <sheet name="Aug" sheetId="6" r:id="rId6"/>
    <sheet name="Sept" sheetId="7" r:id="rId7"/>
    <sheet name="Oct" sheetId="8" r:id="rId8"/>
    <sheet name=" Nov" sheetId="10" r:id="rId9"/>
    <sheet name="Dec" sheetId="9" r:id="rId10"/>
  </sheets>
  <definedNames>
    <definedName name="_xlnm._FilterDatabase" localSheetId="8" hidden="1">' Nov'!$A$8:$M$201</definedName>
    <definedName name="_xlnm._FilterDatabase" localSheetId="1" hidden="1">Apr!$A$7:$R$201</definedName>
    <definedName name="_xlnm._FilterDatabase" localSheetId="5" hidden="1">Aug!$A$7:$R$300</definedName>
    <definedName name="_xlnm._FilterDatabase" localSheetId="9" hidden="1">Dec!$A$9:$Q$344</definedName>
    <definedName name="_xlnm._FilterDatabase" localSheetId="4" hidden="1">July!$A$7:$R$275</definedName>
    <definedName name="_xlnm._FilterDatabase" localSheetId="3" hidden="1">June!$A$7:$Q$305</definedName>
    <definedName name="_xlnm._FilterDatabase" localSheetId="0" hidden="1">Mar!$A$7:$R$267</definedName>
    <definedName name="_xlnm._FilterDatabase" localSheetId="2" hidden="1">May!$A$7:$Q$211</definedName>
    <definedName name="_xlnm._FilterDatabase" localSheetId="7" hidden="1">Oct!$A$8:$M$250</definedName>
    <definedName name="_xlnm._FilterDatabase" localSheetId="6" hidden="1">Sept!$A$7:$R$199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6" i="9" l="1"/>
  <c r="E340" i="9"/>
  <c r="Q261" i="9" l="1"/>
  <c r="P261" i="9"/>
  <c r="M261" i="9"/>
  <c r="G261" i="9"/>
  <c r="E261" i="9"/>
  <c r="M260" i="9"/>
  <c r="G260" i="9"/>
  <c r="E260" i="9"/>
  <c r="M259" i="9"/>
  <c r="G259" i="9"/>
  <c r="E259" i="9"/>
  <c r="Q258" i="9"/>
  <c r="P258" i="9"/>
  <c r="M258" i="9"/>
  <c r="G258" i="9"/>
  <c r="E258" i="9"/>
  <c r="Q257" i="9"/>
  <c r="P257" i="9"/>
  <c r="M257" i="9"/>
  <c r="G257" i="9"/>
  <c r="E257" i="9"/>
  <c r="M256" i="9"/>
  <c r="G256" i="9"/>
  <c r="E256" i="9"/>
  <c r="M255" i="9"/>
  <c r="G255" i="9"/>
  <c r="E255" i="9"/>
  <c r="Q254" i="9"/>
  <c r="P254" i="9"/>
  <c r="M254" i="9"/>
  <c r="G254" i="9"/>
  <c r="E254" i="9"/>
  <c r="M253" i="9"/>
  <c r="G253" i="9"/>
  <c r="E253" i="9"/>
  <c r="M252" i="9"/>
  <c r="E252" i="9"/>
  <c r="M251" i="9"/>
  <c r="E251" i="9"/>
  <c r="R250" i="9"/>
  <c r="Q250" i="9"/>
  <c r="P250" i="9"/>
  <c r="M250" i="9"/>
  <c r="E250" i="9"/>
  <c r="M249" i="9"/>
  <c r="G249" i="9"/>
  <c r="E249" i="9"/>
  <c r="M248" i="9"/>
  <c r="G248" i="9"/>
  <c r="E248" i="9"/>
  <c r="M247" i="9"/>
  <c r="G247" i="9"/>
  <c r="M246" i="9"/>
  <c r="G246" i="9"/>
  <c r="E246" i="9"/>
  <c r="M245" i="9"/>
  <c r="G245" i="9"/>
  <c r="E245" i="9"/>
  <c r="M244" i="9"/>
  <c r="E244" i="9"/>
  <c r="M243" i="9"/>
  <c r="E243" i="9"/>
  <c r="M242" i="9"/>
  <c r="E242" i="9"/>
  <c r="M241" i="9"/>
  <c r="E241" i="9"/>
  <c r="M240" i="9"/>
  <c r="G240" i="9"/>
  <c r="E240" i="9"/>
  <c r="M239" i="9"/>
  <c r="G239" i="9"/>
  <c r="E239" i="9"/>
  <c r="M238" i="9"/>
  <c r="G238" i="9"/>
  <c r="M237" i="9"/>
  <c r="G237" i="9"/>
  <c r="E237" i="9"/>
  <c r="M236" i="9"/>
  <c r="G236" i="9"/>
  <c r="E236" i="9"/>
  <c r="Q235" i="9"/>
  <c r="P235" i="9"/>
  <c r="M235" i="9"/>
  <c r="G235" i="9"/>
  <c r="E235" i="9"/>
  <c r="Q234" i="9"/>
  <c r="P234" i="9"/>
  <c r="M234" i="9"/>
  <c r="G234" i="9"/>
  <c r="E234" i="9"/>
  <c r="M233" i="9"/>
  <c r="G233" i="9"/>
  <c r="E233" i="9"/>
  <c r="M232" i="9"/>
  <c r="G232" i="9"/>
  <c r="E232" i="9"/>
  <c r="Q231" i="9"/>
  <c r="P231" i="9"/>
  <c r="M231" i="9"/>
  <c r="G231" i="9"/>
  <c r="E231" i="9"/>
  <c r="M230" i="9"/>
  <c r="G230" i="9"/>
  <c r="E230" i="9"/>
  <c r="M229" i="9"/>
  <c r="G229" i="9"/>
  <c r="E229" i="9"/>
  <c r="Q228" i="9"/>
  <c r="P228" i="9"/>
  <c r="M228" i="9"/>
  <c r="G228" i="9"/>
  <c r="E228" i="9"/>
  <c r="M227" i="9"/>
  <c r="G227" i="9"/>
  <c r="E227" i="9"/>
  <c r="M226" i="9"/>
  <c r="G226" i="9"/>
  <c r="E226" i="9"/>
  <c r="Q225" i="9"/>
  <c r="P225" i="9"/>
  <c r="M225" i="9"/>
  <c r="G225" i="9"/>
  <c r="E225" i="9"/>
  <c r="M224" i="9"/>
  <c r="G224" i="9"/>
  <c r="E224" i="9"/>
  <c r="M223" i="9"/>
  <c r="G223" i="9"/>
  <c r="E223" i="9"/>
  <c r="Q222" i="9"/>
  <c r="P222" i="9"/>
  <c r="M222" i="9"/>
  <c r="G222" i="9"/>
  <c r="E222" i="9"/>
  <c r="M221" i="9"/>
  <c r="G221" i="9"/>
  <c r="E221" i="9"/>
  <c r="M220" i="9"/>
  <c r="G220" i="9"/>
  <c r="E220" i="9"/>
  <c r="Q219" i="9"/>
  <c r="P219" i="9"/>
  <c r="M219" i="9"/>
  <c r="G219" i="9"/>
  <c r="E219" i="9"/>
  <c r="M218" i="9"/>
  <c r="G218" i="9"/>
  <c r="E218" i="9"/>
  <c r="M217" i="9"/>
  <c r="G217" i="9"/>
  <c r="E217" i="9"/>
  <c r="Q216" i="9"/>
  <c r="P216" i="9"/>
  <c r="M216" i="9"/>
  <c r="G216" i="9"/>
  <c r="E216" i="9"/>
  <c r="M215" i="9"/>
  <c r="G215" i="9"/>
  <c r="E215" i="9"/>
  <c r="M214" i="9"/>
  <c r="G214" i="9"/>
  <c r="E214" i="9"/>
  <c r="Q213" i="9"/>
  <c r="P213" i="9"/>
  <c r="M213" i="9"/>
  <c r="G213" i="9"/>
  <c r="E213" i="9"/>
  <c r="M212" i="9"/>
  <c r="G212" i="9"/>
  <c r="E212" i="9"/>
  <c r="M211" i="9"/>
  <c r="G211" i="9"/>
  <c r="E211" i="9"/>
  <c r="Q210" i="9"/>
  <c r="P210" i="9"/>
  <c r="M210" i="9"/>
  <c r="G210" i="9"/>
  <c r="E210" i="9"/>
  <c r="M209" i="9"/>
  <c r="G209" i="9"/>
  <c r="E209" i="9"/>
  <c r="M208" i="9"/>
  <c r="G208" i="9"/>
  <c r="E208" i="9"/>
  <c r="M207" i="9"/>
  <c r="G207" i="9"/>
  <c r="E207" i="9"/>
  <c r="Q206" i="9"/>
  <c r="P206" i="9"/>
  <c r="M206" i="9"/>
  <c r="G206" i="9"/>
  <c r="E206" i="9"/>
  <c r="M205" i="9"/>
  <c r="G205" i="9"/>
  <c r="E205" i="9"/>
  <c r="M204" i="9"/>
  <c r="G204" i="9"/>
  <c r="E204" i="9"/>
  <c r="Q203" i="9"/>
  <c r="P203" i="9"/>
  <c r="M203" i="9"/>
  <c r="G203" i="9"/>
  <c r="E203" i="9"/>
  <c r="M202" i="9"/>
  <c r="G202" i="9"/>
  <c r="E202" i="9"/>
  <c r="M201" i="9"/>
  <c r="G201" i="9"/>
  <c r="E201" i="9"/>
  <c r="Q200" i="9"/>
  <c r="P200" i="9"/>
  <c r="M200" i="9"/>
  <c r="G200" i="9"/>
  <c r="E200" i="9"/>
  <c r="M199" i="9"/>
  <c r="G199" i="9"/>
  <c r="E199" i="9"/>
  <c r="M198" i="9"/>
  <c r="G198" i="9"/>
  <c r="E198" i="9"/>
  <c r="Q197" i="9"/>
  <c r="P197" i="9"/>
  <c r="M197" i="9"/>
  <c r="G197" i="9"/>
  <c r="E197" i="9"/>
  <c r="Q196" i="9"/>
  <c r="P196" i="9"/>
  <c r="M196" i="9"/>
  <c r="G196" i="9"/>
  <c r="E196" i="9"/>
  <c r="Q195" i="9"/>
  <c r="P195" i="9"/>
  <c r="M195" i="9"/>
  <c r="G195" i="9"/>
  <c r="E195" i="9"/>
  <c r="M194" i="9"/>
  <c r="G194" i="9"/>
  <c r="E194" i="9"/>
  <c r="M193" i="9"/>
  <c r="G193" i="9"/>
  <c r="E193" i="9"/>
  <c r="Q192" i="9"/>
  <c r="P192" i="9"/>
  <c r="M192" i="9"/>
  <c r="G192" i="9"/>
  <c r="E192" i="9"/>
  <c r="M191" i="9"/>
  <c r="G191" i="9"/>
  <c r="E191" i="9"/>
  <c r="M190" i="9"/>
  <c r="G190" i="9"/>
  <c r="E190" i="9"/>
  <c r="Q189" i="9"/>
  <c r="P189" i="9"/>
  <c r="M189" i="9"/>
  <c r="G189" i="9"/>
  <c r="E189" i="9"/>
  <c r="M188" i="9"/>
  <c r="G188" i="9"/>
  <c r="E188" i="9"/>
  <c r="M187" i="9"/>
  <c r="G187" i="9"/>
  <c r="E187" i="9"/>
  <c r="Q186" i="9"/>
  <c r="P186" i="9"/>
  <c r="M186" i="9"/>
  <c r="G186" i="9"/>
  <c r="E186" i="9"/>
  <c r="M185" i="9"/>
  <c r="G185" i="9"/>
  <c r="E185" i="9"/>
  <c r="M184" i="9"/>
  <c r="G184" i="9"/>
  <c r="E184" i="9"/>
  <c r="Q183" i="9"/>
  <c r="P183" i="9"/>
  <c r="M183" i="9"/>
  <c r="G183" i="9"/>
  <c r="E183" i="9"/>
  <c r="M182" i="9"/>
  <c r="G182" i="9"/>
  <c r="E182" i="9"/>
  <c r="M181" i="9"/>
  <c r="G181" i="9"/>
  <c r="E181" i="9"/>
  <c r="Q180" i="9"/>
  <c r="P180" i="9"/>
  <c r="M180" i="9"/>
  <c r="G180" i="9"/>
  <c r="E180" i="9"/>
  <c r="M179" i="9"/>
  <c r="G179" i="9"/>
  <c r="E179" i="9"/>
  <c r="M178" i="9"/>
  <c r="G178" i="9"/>
  <c r="E178" i="9"/>
  <c r="Q177" i="9"/>
  <c r="P177" i="9"/>
  <c r="M177" i="9"/>
  <c r="G177" i="9"/>
  <c r="E177" i="9"/>
  <c r="M176" i="9"/>
  <c r="G176" i="9"/>
  <c r="E176" i="9"/>
  <c r="M175" i="9"/>
  <c r="G175" i="9"/>
  <c r="E175" i="9"/>
  <c r="Q174" i="9"/>
  <c r="P174" i="9"/>
  <c r="M174" i="9"/>
  <c r="G174" i="9"/>
  <c r="E174" i="9"/>
  <c r="M173" i="9"/>
  <c r="G173" i="9"/>
  <c r="E173" i="9"/>
  <c r="M172" i="9"/>
  <c r="G172" i="9"/>
  <c r="E172" i="9"/>
  <c r="Q171" i="9"/>
  <c r="P171" i="9"/>
  <c r="M171" i="9"/>
  <c r="G171" i="9"/>
  <c r="E171" i="9"/>
  <c r="M170" i="9"/>
  <c r="G170" i="9"/>
  <c r="E170" i="9"/>
  <c r="M169" i="9"/>
  <c r="G169" i="9"/>
  <c r="E169" i="9"/>
  <c r="Q168" i="9"/>
  <c r="P168" i="9"/>
  <c r="M168" i="9"/>
  <c r="G168" i="9"/>
  <c r="E168" i="9"/>
  <c r="M167" i="9"/>
  <c r="G167" i="9"/>
  <c r="E167" i="9"/>
  <c r="M166" i="9"/>
  <c r="G166" i="9"/>
  <c r="E166" i="9"/>
  <c r="Q165" i="9"/>
  <c r="P165" i="9"/>
  <c r="M165" i="9"/>
  <c r="G165" i="9"/>
  <c r="E165" i="9"/>
  <c r="Q164" i="9"/>
  <c r="P164" i="9"/>
  <c r="M164" i="9"/>
  <c r="G164" i="9"/>
  <c r="E164" i="9"/>
  <c r="Q163" i="9"/>
  <c r="P163" i="9"/>
  <c r="M163" i="9"/>
  <c r="G163" i="9"/>
  <c r="E163" i="9"/>
  <c r="M162" i="9"/>
  <c r="G162" i="9"/>
  <c r="E162" i="9"/>
  <c r="M161" i="9"/>
  <c r="G161" i="9"/>
  <c r="E161" i="9"/>
  <c r="Q160" i="9"/>
  <c r="P160" i="9"/>
  <c r="M160" i="9"/>
  <c r="G160" i="9"/>
  <c r="E160" i="9"/>
  <c r="Q159" i="9"/>
  <c r="P159" i="9"/>
  <c r="M159" i="9"/>
  <c r="G159" i="9"/>
  <c r="E159" i="9"/>
  <c r="M158" i="9"/>
  <c r="G158" i="9"/>
  <c r="E158" i="9"/>
  <c r="M157" i="9"/>
  <c r="G157" i="9"/>
  <c r="E157" i="9"/>
  <c r="Q156" i="9"/>
  <c r="P156" i="9"/>
  <c r="M156" i="9"/>
  <c r="G156" i="9"/>
  <c r="E156" i="9"/>
  <c r="M155" i="9"/>
  <c r="G155" i="9"/>
  <c r="E155" i="9"/>
  <c r="M154" i="9"/>
  <c r="G154" i="9"/>
  <c r="E154" i="9"/>
  <c r="Q153" i="9"/>
  <c r="P153" i="9"/>
  <c r="M153" i="9"/>
  <c r="G153" i="9"/>
  <c r="E153" i="9"/>
  <c r="M152" i="9"/>
  <c r="G152" i="9"/>
  <c r="E152" i="9"/>
  <c r="M151" i="9"/>
  <c r="G151" i="9"/>
  <c r="E151" i="9"/>
  <c r="Q150" i="9"/>
  <c r="P150" i="9"/>
  <c r="M150" i="9"/>
  <c r="G150" i="9"/>
  <c r="E150" i="9"/>
  <c r="M149" i="9"/>
  <c r="G149" i="9"/>
  <c r="E149" i="9"/>
  <c r="M148" i="9"/>
  <c r="G148" i="9"/>
  <c r="E148" i="9"/>
  <c r="Q147" i="9"/>
  <c r="P147" i="9"/>
  <c r="M147" i="9"/>
  <c r="G147" i="9"/>
  <c r="E147" i="9"/>
  <c r="M146" i="9"/>
  <c r="G146" i="9"/>
  <c r="E146" i="9"/>
  <c r="M145" i="9"/>
  <c r="E145" i="9"/>
  <c r="M144" i="9"/>
  <c r="E144" i="9"/>
  <c r="M143" i="9"/>
  <c r="G143" i="9"/>
  <c r="E143" i="9"/>
  <c r="M142" i="9"/>
  <c r="G142" i="9"/>
  <c r="E142" i="9"/>
  <c r="Q141" i="9"/>
  <c r="P141" i="9"/>
  <c r="M141" i="9"/>
  <c r="G141" i="9"/>
  <c r="E141" i="9"/>
  <c r="M140" i="9"/>
  <c r="G140" i="9"/>
  <c r="E140" i="9"/>
  <c r="M139" i="9"/>
  <c r="G139" i="9"/>
  <c r="E139" i="9"/>
  <c r="Q138" i="9"/>
  <c r="P138" i="9"/>
  <c r="M138" i="9"/>
  <c r="G138" i="9"/>
  <c r="E138" i="9"/>
  <c r="M137" i="9"/>
  <c r="G137" i="9"/>
  <c r="E137" i="9"/>
  <c r="M136" i="9"/>
  <c r="G136" i="9"/>
  <c r="E136" i="9"/>
  <c r="Q135" i="9"/>
  <c r="P135" i="9"/>
  <c r="M135" i="9"/>
  <c r="G135" i="9"/>
  <c r="E135" i="9"/>
  <c r="Q134" i="9"/>
  <c r="P134" i="9"/>
  <c r="M134" i="9"/>
  <c r="G134" i="9"/>
  <c r="E134" i="9"/>
  <c r="M133" i="9"/>
  <c r="G133" i="9"/>
  <c r="E133" i="9"/>
  <c r="M132" i="9"/>
  <c r="G132" i="9"/>
  <c r="E132" i="9"/>
  <c r="Q131" i="9"/>
  <c r="P131" i="9"/>
  <c r="M131" i="9"/>
  <c r="G131" i="9"/>
  <c r="E131" i="9"/>
  <c r="Q130" i="9"/>
  <c r="P130" i="9"/>
  <c r="M130" i="9"/>
  <c r="G130" i="9"/>
  <c r="E130" i="9"/>
  <c r="M129" i="9"/>
  <c r="G129" i="9"/>
  <c r="E129" i="9"/>
  <c r="M128" i="9"/>
  <c r="G128" i="9"/>
  <c r="E128" i="9"/>
  <c r="Q127" i="9"/>
  <c r="P127" i="9"/>
  <c r="M127" i="9"/>
  <c r="G127" i="9"/>
  <c r="E127" i="9"/>
  <c r="M126" i="9"/>
  <c r="G126" i="9"/>
  <c r="E126" i="9"/>
  <c r="M125" i="9"/>
  <c r="G125" i="9"/>
  <c r="E125" i="9"/>
  <c r="Q124" i="9"/>
  <c r="P124" i="9"/>
  <c r="M124" i="9"/>
  <c r="G124" i="9"/>
  <c r="E124" i="9"/>
  <c r="Q123" i="9"/>
  <c r="P123" i="9"/>
  <c r="M123" i="9"/>
  <c r="G123" i="9"/>
  <c r="E123" i="9"/>
  <c r="M122" i="9"/>
  <c r="G122" i="9"/>
  <c r="E122" i="9"/>
  <c r="M121" i="9"/>
  <c r="G121" i="9"/>
  <c r="E121" i="9"/>
  <c r="Q120" i="9"/>
  <c r="P120" i="9"/>
  <c r="M120" i="9"/>
  <c r="G120" i="9"/>
  <c r="E120" i="9"/>
  <c r="M119" i="9"/>
  <c r="G119" i="9"/>
  <c r="E119" i="9"/>
  <c r="M118" i="9"/>
  <c r="G118" i="9"/>
  <c r="E118" i="9"/>
  <c r="Q117" i="9"/>
  <c r="P117" i="9"/>
  <c r="M117" i="9"/>
  <c r="G117" i="9"/>
  <c r="E117" i="9"/>
  <c r="M116" i="9"/>
  <c r="G116" i="9"/>
  <c r="E116" i="9"/>
  <c r="M115" i="9"/>
  <c r="G115" i="9"/>
  <c r="E115" i="9"/>
  <c r="Q114" i="9"/>
  <c r="P114" i="9"/>
  <c r="M114" i="9"/>
  <c r="G114" i="9"/>
  <c r="E114" i="9"/>
  <c r="M113" i="9"/>
  <c r="G113" i="9"/>
  <c r="E113" i="9"/>
  <c r="M112" i="9"/>
  <c r="G112" i="9"/>
  <c r="E112" i="9"/>
  <c r="Q111" i="9"/>
  <c r="P111" i="9"/>
  <c r="M111" i="9"/>
  <c r="G111" i="9"/>
  <c r="E111" i="9"/>
  <c r="M110" i="9"/>
  <c r="G110" i="9"/>
  <c r="E110" i="9"/>
  <c r="M109" i="9"/>
  <c r="G109" i="9"/>
  <c r="E109" i="9"/>
  <c r="Q108" i="9"/>
  <c r="P108" i="9"/>
  <c r="M108" i="9"/>
  <c r="G108" i="9"/>
  <c r="E108" i="9"/>
  <c r="R107" i="9"/>
  <c r="Q107" i="9"/>
  <c r="P107" i="9"/>
  <c r="M107" i="9"/>
  <c r="G107" i="9"/>
  <c r="E107" i="9"/>
  <c r="M106" i="9"/>
  <c r="G106" i="9"/>
  <c r="E106" i="9"/>
  <c r="M105" i="9"/>
  <c r="E105" i="9"/>
  <c r="M104" i="9"/>
  <c r="E104" i="9"/>
  <c r="H203" i="10" l="1"/>
  <c r="M343" i="9" l="1"/>
  <c r="G343" i="9"/>
  <c r="E343" i="9"/>
  <c r="M342" i="9"/>
  <c r="E342" i="9"/>
  <c r="M341" i="9"/>
  <c r="E341" i="9"/>
  <c r="M340" i="9"/>
  <c r="G340" i="9"/>
  <c r="M339" i="9"/>
  <c r="G339" i="9"/>
  <c r="E339" i="9"/>
  <c r="Q338" i="9"/>
  <c r="P338" i="9"/>
  <c r="M338" i="9"/>
  <c r="G338" i="9"/>
  <c r="E338" i="9"/>
  <c r="Q337" i="9"/>
  <c r="P337" i="9"/>
  <c r="M337" i="9"/>
  <c r="G337" i="9"/>
  <c r="E337" i="9"/>
  <c r="M336" i="9"/>
  <c r="G336" i="9"/>
  <c r="E336" i="9"/>
  <c r="M335" i="9"/>
  <c r="G335" i="9"/>
  <c r="E335" i="9"/>
  <c r="M334" i="9"/>
  <c r="G334" i="9"/>
  <c r="E334" i="9"/>
  <c r="M333" i="9"/>
  <c r="G333" i="9"/>
  <c r="E333" i="9"/>
  <c r="M332" i="9"/>
  <c r="G332" i="9"/>
  <c r="E332" i="9"/>
  <c r="M331" i="9"/>
  <c r="E331" i="9"/>
  <c r="M330" i="9"/>
  <c r="E330" i="9"/>
  <c r="M329" i="9"/>
  <c r="G329" i="9"/>
  <c r="E329" i="9"/>
  <c r="M328" i="9"/>
  <c r="G328" i="9"/>
  <c r="E328" i="9"/>
  <c r="Q327" i="9"/>
  <c r="P327" i="9"/>
  <c r="M327" i="9"/>
  <c r="G327" i="9"/>
  <c r="E327" i="9"/>
  <c r="M326" i="9"/>
  <c r="G326" i="9"/>
  <c r="E326" i="9"/>
  <c r="M325" i="9"/>
  <c r="G325" i="9"/>
  <c r="E325" i="9"/>
  <c r="Q324" i="9"/>
  <c r="P324" i="9"/>
  <c r="M324" i="9"/>
  <c r="G324" i="9"/>
  <c r="E324" i="9"/>
  <c r="M323" i="9"/>
  <c r="G323" i="9"/>
  <c r="E323" i="9"/>
  <c r="M322" i="9"/>
  <c r="G322" i="9"/>
  <c r="E322" i="9"/>
  <c r="Q321" i="9"/>
  <c r="P321" i="9"/>
  <c r="M321" i="9"/>
  <c r="G321" i="9"/>
  <c r="E321" i="9"/>
  <c r="M320" i="9"/>
  <c r="G320" i="9"/>
  <c r="E320" i="9"/>
  <c r="M319" i="9"/>
  <c r="G319" i="9"/>
  <c r="E319" i="9"/>
  <c r="Q318" i="9"/>
  <c r="P318" i="9"/>
  <c r="M318" i="9"/>
  <c r="G318" i="9"/>
  <c r="E318" i="9"/>
  <c r="M317" i="9"/>
  <c r="G317" i="9"/>
  <c r="E317" i="9"/>
  <c r="M316" i="9"/>
  <c r="G316" i="9"/>
  <c r="E316" i="9"/>
  <c r="Q315" i="9"/>
  <c r="P315" i="9"/>
  <c r="M315" i="9"/>
  <c r="G315" i="9"/>
  <c r="E315" i="9"/>
  <c r="M314" i="9"/>
  <c r="G314" i="9"/>
  <c r="E314" i="9"/>
  <c r="M313" i="9"/>
  <c r="G313" i="9"/>
  <c r="E313" i="9"/>
  <c r="Q312" i="9"/>
  <c r="P312" i="9"/>
  <c r="M312" i="9"/>
  <c r="G312" i="9"/>
  <c r="E312" i="9"/>
  <c r="M311" i="9"/>
  <c r="G311" i="9"/>
  <c r="E311" i="9"/>
  <c r="M310" i="9"/>
  <c r="G310" i="9"/>
  <c r="E310" i="9"/>
  <c r="Q309" i="9"/>
  <c r="P309" i="9"/>
  <c r="M309" i="9"/>
  <c r="G309" i="9"/>
  <c r="E309" i="9"/>
  <c r="M308" i="9"/>
  <c r="G308" i="9"/>
  <c r="E308" i="9"/>
  <c r="M307" i="9"/>
  <c r="G307" i="9"/>
  <c r="E307" i="9"/>
  <c r="Q306" i="9"/>
  <c r="P306" i="9"/>
  <c r="M306" i="9"/>
  <c r="G306" i="9"/>
  <c r="E306" i="9"/>
  <c r="M305" i="9"/>
  <c r="G305" i="9"/>
  <c r="E305" i="9"/>
  <c r="M304" i="9"/>
  <c r="G304" i="9"/>
  <c r="E304" i="9"/>
  <c r="Q303" i="9"/>
  <c r="P303" i="9"/>
  <c r="M303" i="9"/>
  <c r="G303" i="9"/>
  <c r="E303" i="9"/>
  <c r="M302" i="9"/>
  <c r="G302" i="9"/>
  <c r="E302" i="9"/>
  <c r="M301" i="9"/>
  <c r="G301" i="9"/>
  <c r="E301" i="9"/>
  <c r="Q300" i="9"/>
  <c r="P300" i="9"/>
  <c r="M300" i="9"/>
  <c r="G300" i="9"/>
  <c r="E300" i="9"/>
  <c r="Q299" i="9"/>
  <c r="P299" i="9"/>
  <c r="M299" i="9"/>
  <c r="G299" i="9"/>
  <c r="E299" i="9"/>
  <c r="M298" i="9"/>
  <c r="G298" i="9"/>
  <c r="E298" i="9"/>
  <c r="M297" i="9"/>
  <c r="G297" i="9"/>
  <c r="E297" i="9"/>
  <c r="Q296" i="9"/>
  <c r="P296" i="9"/>
  <c r="M296" i="9"/>
  <c r="G296" i="9"/>
  <c r="E296" i="9"/>
  <c r="M295" i="9"/>
  <c r="G295" i="9"/>
  <c r="E295" i="9"/>
  <c r="M294" i="9"/>
  <c r="G294" i="9"/>
  <c r="E294" i="9"/>
  <c r="Q293" i="9"/>
  <c r="P293" i="9"/>
  <c r="M293" i="9"/>
  <c r="G293" i="9"/>
  <c r="E293" i="9"/>
  <c r="M292" i="9"/>
  <c r="G292" i="9"/>
  <c r="E292" i="9"/>
  <c r="M291" i="9"/>
  <c r="G291" i="9"/>
  <c r="E291" i="9"/>
  <c r="Q290" i="9"/>
  <c r="P290" i="9"/>
  <c r="M290" i="9"/>
  <c r="G290" i="9"/>
  <c r="E290" i="9"/>
  <c r="M289" i="9"/>
  <c r="G289" i="9"/>
  <c r="E289" i="9"/>
  <c r="M288" i="9"/>
  <c r="G288" i="9"/>
  <c r="E288" i="9"/>
  <c r="Q287" i="9"/>
  <c r="P287" i="9"/>
  <c r="M287" i="9"/>
  <c r="G287" i="9"/>
  <c r="E287" i="9"/>
  <c r="Q286" i="9"/>
  <c r="P286" i="9"/>
  <c r="M286" i="9"/>
  <c r="G286" i="9"/>
  <c r="E286" i="9"/>
  <c r="Q285" i="9"/>
  <c r="P285" i="9"/>
  <c r="M285" i="9"/>
  <c r="G285" i="9"/>
  <c r="E285" i="9"/>
  <c r="Q284" i="9"/>
  <c r="P284" i="9"/>
  <c r="M284" i="9"/>
  <c r="G284" i="9"/>
  <c r="E284" i="9"/>
  <c r="M283" i="9"/>
  <c r="G283" i="9"/>
  <c r="E283" i="9"/>
  <c r="M282" i="9"/>
  <c r="G282" i="9"/>
  <c r="E282" i="9"/>
  <c r="Q281" i="9"/>
  <c r="P281" i="9"/>
  <c r="M281" i="9"/>
  <c r="G281" i="9"/>
  <c r="E281" i="9"/>
  <c r="M280" i="9"/>
  <c r="G280" i="9"/>
  <c r="E280" i="9"/>
  <c r="M279" i="9"/>
  <c r="G279" i="9"/>
  <c r="E279" i="9"/>
  <c r="Q278" i="9"/>
  <c r="P278" i="9"/>
  <c r="M278" i="9"/>
  <c r="G278" i="9"/>
  <c r="E278" i="9"/>
  <c r="M277" i="9"/>
  <c r="G277" i="9"/>
  <c r="E277" i="9"/>
  <c r="M276" i="9"/>
  <c r="E276" i="9"/>
  <c r="M275" i="9"/>
  <c r="E275" i="9"/>
  <c r="R274" i="9"/>
  <c r="Q274" i="9"/>
  <c r="P274" i="9"/>
  <c r="M274" i="9"/>
  <c r="G274" i="9"/>
  <c r="E274" i="9"/>
  <c r="M273" i="9"/>
  <c r="G273" i="9"/>
  <c r="E273" i="9"/>
  <c r="M272" i="9"/>
  <c r="G272" i="9"/>
  <c r="E272" i="9"/>
  <c r="R271" i="9"/>
  <c r="Q271" i="9"/>
  <c r="P271" i="9"/>
  <c r="M271" i="9"/>
  <c r="G271" i="9"/>
  <c r="E271" i="9"/>
  <c r="M270" i="9"/>
  <c r="G270" i="9"/>
  <c r="E270" i="9"/>
  <c r="M269" i="9"/>
  <c r="G269" i="9"/>
  <c r="E269" i="9"/>
  <c r="M268" i="9"/>
  <c r="G268" i="9"/>
  <c r="E268" i="9"/>
  <c r="M267" i="9"/>
  <c r="G267" i="9"/>
  <c r="E267" i="9"/>
  <c r="M266" i="9"/>
  <c r="G266" i="9"/>
  <c r="E266" i="9"/>
  <c r="M265" i="9"/>
  <c r="E265" i="9"/>
  <c r="M264" i="9"/>
  <c r="E264" i="9"/>
  <c r="M263" i="9"/>
  <c r="E263" i="9"/>
  <c r="M262" i="9"/>
  <c r="E262" i="9"/>
  <c r="Q50" i="10" l="1"/>
  <c r="P50" i="10"/>
  <c r="M50" i="10"/>
  <c r="G50" i="10"/>
  <c r="E50" i="10"/>
  <c r="Q49" i="10"/>
  <c r="P49" i="10"/>
  <c r="M49" i="10"/>
  <c r="G49" i="10"/>
  <c r="E49" i="10"/>
  <c r="Q48" i="10"/>
  <c r="P48" i="10"/>
  <c r="M48" i="10"/>
  <c r="G48" i="10"/>
  <c r="E48" i="10"/>
  <c r="Q47" i="10"/>
  <c r="P47" i="10"/>
  <c r="M47" i="10"/>
  <c r="G47" i="10"/>
  <c r="E47" i="10"/>
  <c r="M46" i="10"/>
  <c r="G46" i="10"/>
  <c r="E46" i="10"/>
  <c r="M45" i="10"/>
  <c r="G45" i="10"/>
  <c r="E45" i="10"/>
  <c r="Q44" i="10"/>
  <c r="P44" i="10"/>
  <c r="M44" i="10"/>
  <c r="G44" i="10"/>
  <c r="E44" i="10"/>
  <c r="M43" i="10"/>
  <c r="G43" i="10"/>
  <c r="E43" i="10"/>
  <c r="M42" i="10"/>
  <c r="G42" i="10"/>
  <c r="E42" i="10"/>
  <c r="Q41" i="10"/>
  <c r="P41" i="10"/>
  <c r="M41" i="10"/>
  <c r="G41" i="10"/>
  <c r="E41" i="10"/>
  <c r="Q40" i="10"/>
  <c r="P40" i="10"/>
  <c r="M40" i="10"/>
  <c r="G40" i="10"/>
  <c r="E40" i="10"/>
  <c r="M39" i="10"/>
  <c r="G39" i="10"/>
  <c r="E39" i="10"/>
  <c r="M38" i="10"/>
  <c r="G38" i="10"/>
  <c r="E38" i="10"/>
  <c r="Q37" i="10"/>
  <c r="P37" i="10"/>
  <c r="M37" i="10"/>
  <c r="G37" i="10"/>
  <c r="E37" i="10"/>
  <c r="M36" i="10"/>
  <c r="G36" i="10"/>
  <c r="E36" i="10"/>
  <c r="M35" i="10"/>
  <c r="G35" i="10"/>
  <c r="E35" i="10"/>
  <c r="Q34" i="10"/>
  <c r="P34" i="10"/>
  <c r="M34" i="10"/>
  <c r="G34" i="10"/>
  <c r="E34" i="10"/>
  <c r="M33" i="10"/>
  <c r="G33" i="10"/>
  <c r="E33" i="10"/>
  <c r="M32" i="10"/>
  <c r="G32" i="10"/>
  <c r="E32" i="10"/>
  <c r="Q31" i="10"/>
  <c r="P31" i="10"/>
  <c r="M31" i="10"/>
  <c r="G31" i="10"/>
  <c r="E31" i="10"/>
  <c r="M30" i="10"/>
  <c r="G30" i="10"/>
  <c r="E30" i="10"/>
  <c r="M29" i="10"/>
  <c r="G29" i="10"/>
  <c r="E29" i="10"/>
  <c r="Q28" i="10"/>
  <c r="P28" i="10"/>
  <c r="M28" i="10"/>
  <c r="G28" i="10"/>
  <c r="E28" i="10"/>
  <c r="M27" i="10"/>
  <c r="G27" i="10"/>
  <c r="E27" i="10"/>
  <c r="M26" i="10"/>
  <c r="G26" i="10"/>
  <c r="E26" i="10"/>
  <c r="Q25" i="10"/>
  <c r="P25" i="10"/>
  <c r="M25" i="10"/>
  <c r="G25" i="10"/>
  <c r="E25" i="10"/>
  <c r="M24" i="10"/>
  <c r="G24" i="10"/>
  <c r="E24" i="10"/>
  <c r="M23" i="10"/>
  <c r="G23" i="10"/>
  <c r="E23" i="10"/>
  <c r="Q22" i="10"/>
  <c r="P22" i="10"/>
  <c r="M22" i="10"/>
  <c r="G22" i="10"/>
  <c r="E22" i="10"/>
  <c r="R21" i="10"/>
  <c r="Q21" i="10"/>
  <c r="P21" i="10"/>
  <c r="M21" i="10"/>
  <c r="E21" i="10"/>
  <c r="M20" i="10"/>
  <c r="G20" i="10"/>
  <c r="E20" i="10"/>
  <c r="M19" i="10"/>
  <c r="G19" i="10"/>
  <c r="E19" i="10"/>
  <c r="M18" i="10"/>
  <c r="E18" i="10"/>
  <c r="M17" i="10"/>
  <c r="E17" i="10"/>
  <c r="R16" i="10"/>
  <c r="Q16" i="10"/>
  <c r="P16" i="10"/>
  <c r="M16" i="10"/>
  <c r="E16" i="10"/>
  <c r="R15" i="10"/>
  <c r="P15" i="10"/>
  <c r="M15" i="10"/>
  <c r="G15" i="10"/>
  <c r="E15" i="10"/>
  <c r="M14" i="10"/>
  <c r="G14" i="10"/>
  <c r="E14" i="10"/>
  <c r="M13" i="10"/>
  <c r="G13" i="10"/>
  <c r="E13" i="10"/>
  <c r="M12" i="10"/>
  <c r="G12" i="10"/>
  <c r="E12" i="10"/>
  <c r="M11" i="10"/>
  <c r="G11" i="10"/>
  <c r="E11" i="10"/>
  <c r="Q10" i="10"/>
  <c r="P10" i="10"/>
  <c r="M10" i="10"/>
  <c r="G10" i="10"/>
  <c r="E10" i="10"/>
  <c r="E51" i="10"/>
  <c r="M51" i="10"/>
  <c r="E52" i="10"/>
  <c r="M52" i="10"/>
  <c r="E53" i="10"/>
  <c r="G53" i="10"/>
  <c r="M53" i="10"/>
  <c r="E54" i="10"/>
  <c r="G54" i="10"/>
  <c r="M54" i="10"/>
  <c r="E55" i="10"/>
  <c r="G55" i="10"/>
  <c r="M55" i="10"/>
  <c r="E56" i="10"/>
  <c r="M56" i="10"/>
  <c r="E57" i="10"/>
  <c r="M57" i="10"/>
  <c r="E58" i="10"/>
  <c r="G58" i="10"/>
  <c r="M58" i="10"/>
  <c r="M68" i="10" l="1"/>
  <c r="G68" i="10"/>
  <c r="E68" i="10"/>
  <c r="M67" i="10"/>
  <c r="G67" i="10"/>
  <c r="E67" i="10"/>
  <c r="M66" i="10"/>
  <c r="E66" i="10"/>
  <c r="M65" i="10"/>
  <c r="E65" i="10"/>
  <c r="M64" i="10"/>
  <c r="E64" i="10"/>
  <c r="M63" i="10"/>
  <c r="E63" i="10"/>
  <c r="R62" i="10"/>
  <c r="Q62" i="10"/>
  <c r="P62" i="10"/>
  <c r="M62" i="10"/>
  <c r="E62" i="10"/>
  <c r="M61" i="10"/>
  <c r="G61" i="10"/>
  <c r="E61" i="10"/>
  <c r="M60" i="10"/>
  <c r="G60" i="10"/>
  <c r="E60" i="10"/>
  <c r="Q59" i="10"/>
  <c r="P59" i="10"/>
  <c r="M59" i="10"/>
  <c r="G59" i="10"/>
  <c r="E59" i="10"/>
  <c r="H252" i="8" l="1"/>
  <c r="R83" i="10" l="1"/>
  <c r="Q83" i="10"/>
  <c r="P83" i="10"/>
  <c r="M83" i="10"/>
  <c r="G83" i="10"/>
  <c r="E83" i="10"/>
  <c r="M82" i="10"/>
  <c r="G82" i="10"/>
  <c r="E82" i="10"/>
  <c r="M81" i="10"/>
  <c r="G81" i="10"/>
  <c r="E81" i="10"/>
  <c r="M80" i="10"/>
  <c r="G80" i="10"/>
  <c r="E80" i="10"/>
  <c r="M79" i="10"/>
  <c r="E79" i="10"/>
  <c r="M78" i="10"/>
  <c r="E78" i="10"/>
  <c r="M77" i="10"/>
  <c r="E77" i="10"/>
  <c r="M76" i="10"/>
  <c r="E76" i="10"/>
  <c r="M75" i="10"/>
  <c r="G75" i="10"/>
  <c r="E75" i="10"/>
  <c r="M74" i="10"/>
  <c r="G74" i="10"/>
  <c r="E74" i="10"/>
  <c r="M73" i="10"/>
  <c r="G73" i="10"/>
  <c r="E73" i="10"/>
  <c r="M72" i="10"/>
  <c r="E72" i="10"/>
  <c r="M71" i="10"/>
  <c r="E71" i="10"/>
  <c r="M70" i="10"/>
  <c r="E70" i="10"/>
  <c r="M69" i="10"/>
  <c r="E69" i="10"/>
  <c r="Q198" i="10"/>
  <c r="P198" i="10"/>
  <c r="M198" i="10"/>
  <c r="G198" i="10"/>
  <c r="E198" i="10"/>
  <c r="M197" i="10"/>
  <c r="G197" i="10"/>
  <c r="E197" i="10"/>
  <c r="M196" i="10"/>
  <c r="G196" i="10"/>
  <c r="E196" i="10"/>
  <c r="Q195" i="10"/>
  <c r="P195" i="10"/>
  <c r="M195" i="10"/>
  <c r="G195" i="10"/>
  <c r="E195" i="10"/>
  <c r="M194" i="10"/>
  <c r="G194" i="10"/>
  <c r="E194" i="10"/>
  <c r="M193" i="10"/>
  <c r="G193" i="10"/>
  <c r="E193" i="10"/>
  <c r="Q192" i="10"/>
  <c r="P192" i="10"/>
  <c r="M192" i="10"/>
  <c r="G192" i="10"/>
  <c r="E192" i="10"/>
  <c r="M191" i="10"/>
  <c r="G191" i="10"/>
  <c r="E191" i="10"/>
  <c r="M190" i="10"/>
  <c r="G190" i="10"/>
  <c r="E190" i="10"/>
  <c r="Q189" i="10"/>
  <c r="P189" i="10"/>
  <c r="M189" i="10"/>
  <c r="G189" i="10"/>
  <c r="E189" i="10"/>
  <c r="Q188" i="10"/>
  <c r="P188" i="10"/>
  <c r="M188" i="10"/>
  <c r="G188" i="10"/>
  <c r="E188" i="10"/>
  <c r="Q187" i="10"/>
  <c r="P187" i="10"/>
  <c r="M187" i="10"/>
  <c r="G187" i="10"/>
  <c r="E187" i="10"/>
  <c r="M186" i="10"/>
  <c r="G186" i="10"/>
  <c r="E186" i="10"/>
  <c r="M185" i="10"/>
  <c r="G185" i="10"/>
  <c r="E185" i="10"/>
  <c r="Q184" i="10"/>
  <c r="P184" i="10"/>
  <c r="M184" i="10"/>
  <c r="G184" i="10"/>
  <c r="E184" i="10"/>
  <c r="M183" i="10"/>
  <c r="G183" i="10"/>
  <c r="E183" i="10"/>
  <c r="M182" i="10"/>
  <c r="G182" i="10"/>
  <c r="E182" i="10"/>
  <c r="Q181" i="10"/>
  <c r="P181" i="10"/>
  <c r="M181" i="10"/>
  <c r="G181" i="10"/>
  <c r="E181" i="10"/>
  <c r="M180" i="10"/>
  <c r="G180" i="10"/>
  <c r="E180" i="10"/>
  <c r="M179" i="10"/>
  <c r="G179" i="10"/>
  <c r="E179" i="10"/>
  <c r="Q178" i="10"/>
  <c r="P178" i="10"/>
  <c r="M178" i="10"/>
  <c r="G178" i="10"/>
  <c r="E178" i="10"/>
  <c r="M177" i="10"/>
  <c r="G177" i="10"/>
  <c r="E177" i="10"/>
  <c r="M176" i="10"/>
  <c r="G176" i="10"/>
  <c r="E176" i="10"/>
  <c r="Q175" i="10"/>
  <c r="P175" i="10"/>
  <c r="M175" i="10"/>
  <c r="G175" i="10"/>
  <c r="E175" i="10"/>
  <c r="Q174" i="10"/>
  <c r="P174" i="10"/>
  <c r="M174" i="10"/>
  <c r="G174" i="10"/>
  <c r="E174" i="10"/>
  <c r="Q173" i="10"/>
  <c r="P173" i="10"/>
  <c r="M173" i="10"/>
  <c r="G173" i="10"/>
  <c r="E173" i="10"/>
  <c r="M172" i="10"/>
  <c r="G172" i="10"/>
  <c r="E172" i="10"/>
  <c r="M171" i="10"/>
  <c r="G171" i="10"/>
  <c r="E171" i="10"/>
  <c r="Q170" i="10"/>
  <c r="P170" i="10"/>
  <c r="M170" i="10"/>
  <c r="G170" i="10"/>
  <c r="E170" i="10"/>
  <c r="Q169" i="10"/>
  <c r="P169" i="10"/>
  <c r="M169" i="10"/>
  <c r="G169" i="10"/>
  <c r="E169" i="10"/>
  <c r="M168" i="10"/>
  <c r="G168" i="10"/>
  <c r="E168" i="10"/>
  <c r="M167" i="10"/>
  <c r="G167" i="10"/>
  <c r="E167" i="10"/>
  <c r="P166" i="10"/>
  <c r="M166" i="10"/>
  <c r="G166" i="10"/>
  <c r="E166" i="10"/>
  <c r="M165" i="10"/>
  <c r="G165" i="10"/>
  <c r="E165" i="10"/>
  <c r="M164" i="10"/>
  <c r="G164" i="10"/>
  <c r="E164" i="10"/>
  <c r="M163" i="10"/>
  <c r="E163" i="10"/>
  <c r="M162" i="10"/>
  <c r="E162" i="10"/>
  <c r="M161" i="10"/>
  <c r="E161" i="10"/>
  <c r="M160" i="10"/>
  <c r="E160" i="10"/>
  <c r="M159" i="10"/>
  <c r="G159" i="10"/>
  <c r="E159" i="10"/>
  <c r="M158" i="10"/>
  <c r="G158" i="10"/>
  <c r="Q157" i="10"/>
  <c r="P157" i="10"/>
  <c r="M157" i="10"/>
  <c r="G157" i="10"/>
  <c r="E157" i="10"/>
  <c r="M156" i="10"/>
  <c r="G156" i="10"/>
  <c r="E156" i="10"/>
  <c r="M155" i="10"/>
  <c r="G155" i="10"/>
  <c r="E155" i="10"/>
  <c r="Q154" i="10"/>
  <c r="P154" i="10"/>
  <c r="M154" i="10"/>
  <c r="G154" i="10"/>
  <c r="E154" i="10"/>
  <c r="M153" i="10"/>
  <c r="G153" i="10"/>
  <c r="E153" i="10"/>
  <c r="M152" i="10"/>
  <c r="G152" i="10"/>
  <c r="E152" i="10"/>
  <c r="Q151" i="10"/>
  <c r="P151" i="10"/>
  <c r="M151" i="10"/>
  <c r="G151" i="10"/>
  <c r="E151" i="10"/>
  <c r="M150" i="10"/>
  <c r="G150" i="10"/>
  <c r="E150" i="10"/>
  <c r="M149" i="10"/>
  <c r="G149" i="10"/>
  <c r="E149" i="10"/>
  <c r="Q148" i="10"/>
  <c r="P148" i="10"/>
  <c r="M148" i="10"/>
  <c r="G148" i="10"/>
  <c r="E148" i="10"/>
  <c r="M147" i="10"/>
  <c r="G147" i="10"/>
  <c r="E147" i="10"/>
  <c r="M146" i="10"/>
  <c r="G146" i="10"/>
  <c r="E146" i="10"/>
  <c r="Q145" i="10"/>
  <c r="P145" i="10"/>
  <c r="M145" i="10"/>
  <c r="G145" i="10"/>
  <c r="E145" i="10"/>
  <c r="Q144" i="10"/>
  <c r="P144" i="10"/>
  <c r="M144" i="10"/>
  <c r="G144" i="10"/>
  <c r="E144" i="10"/>
  <c r="Q143" i="10"/>
  <c r="P143" i="10"/>
  <c r="M143" i="10"/>
  <c r="G143" i="10"/>
  <c r="E143" i="10"/>
  <c r="M142" i="10"/>
  <c r="G142" i="10"/>
  <c r="E142" i="10"/>
  <c r="M141" i="10"/>
  <c r="G141" i="10"/>
  <c r="E141" i="10"/>
  <c r="Q140" i="10"/>
  <c r="P140" i="10"/>
  <c r="M140" i="10"/>
  <c r="G140" i="10"/>
  <c r="E140" i="10"/>
  <c r="Q139" i="10"/>
  <c r="P139" i="10"/>
  <c r="M139" i="10"/>
  <c r="G139" i="10"/>
  <c r="E139" i="10"/>
  <c r="M138" i="10"/>
  <c r="G138" i="10"/>
  <c r="E138" i="10"/>
  <c r="M137" i="10"/>
  <c r="G137" i="10"/>
  <c r="E137" i="10"/>
  <c r="Q136" i="10"/>
  <c r="P136" i="10"/>
  <c r="M136" i="10"/>
  <c r="G136" i="10"/>
  <c r="E136" i="10"/>
  <c r="M135" i="10"/>
  <c r="G135" i="10"/>
  <c r="E135" i="10"/>
  <c r="M134" i="10"/>
  <c r="G134" i="10"/>
  <c r="E134" i="10"/>
  <c r="Q133" i="10"/>
  <c r="P133" i="10"/>
  <c r="M133" i="10"/>
  <c r="G133" i="10"/>
  <c r="E133" i="10"/>
  <c r="M132" i="10"/>
  <c r="G132" i="10"/>
  <c r="E132" i="10"/>
  <c r="M131" i="10"/>
  <c r="G131" i="10"/>
  <c r="E131" i="10"/>
  <c r="Q130" i="10"/>
  <c r="P130" i="10"/>
  <c r="M130" i="10"/>
  <c r="G130" i="10"/>
  <c r="E130" i="10"/>
  <c r="M129" i="10"/>
  <c r="G129" i="10"/>
  <c r="E129" i="10"/>
  <c r="M128" i="10"/>
  <c r="G128" i="10"/>
  <c r="E128" i="10"/>
  <c r="Q127" i="10"/>
  <c r="P127" i="10"/>
  <c r="M127" i="10"/>
  <c r="G127" i="10"/>
  <c r="E127" i="10"/>
  <c r="M126" i="10"/>
  <c r="G126" i="10"/>
  <c r="E126" i="10"/>
  <c r="M125" i="10"/>
  <c r="G125" i="10"/>
  <c r="E125" i="10"/>
  <c r="Q124" i="10"/>
  <c r="P124" i="10"/>
  <c r="M124" i="10"/>
  <c r="G124" i="10"/>
  <c r="E124" i="10"/>
  <c r="M123" i="10"/>
  <c r="G123" i="10"/>
  <c r="E123" i="10"/>
  <c r="M122" i="10"/>
  <c r="G122" i="10"/>
  <c r="E122" i="10"/>
  <c r="Q121" i="10"/>
  <c r="P121" i="10"/>
  <c r="M121" i="10"/>
  <c r="G121" i="10"/>
  <c r="E121" i="10"/>
  <c r="M120" i="10"/>
  <c r="G120" i="10"/>
  <c r="E120" i="10"/>
  <c r="M119" i="10"/>
  <c r="G119" i="10"/>
  <c r="E119" i="10"/>
  <c r="Q118" i="10"/>
  <c r="P118" i="10"/>
  <c r="M118" i="10"/>
  <c r="G118" i="10"/>
  <c r="E118" i="10"/>
  <c r="M117" i="10"/>
  <c r="G117" i="10"/>
  <c r="E117" i="10"/>
  <c r="M116" i="10"/>
  <c r="G116" i="10"/>
  <c r="E116" i="10"/>
  <c r="Q115" i="10"/>
  <c r="P115" i="10"/>
  <c r="M115" i="10"/>
  <c r="G115" i="10"/>
  <c r="E115" i="10"/>
  <c r="M114" i="10"/>
  <c r="G114" i="10"/>
  <c r="E114" i="10"/>
  <c r="M113" i="10"/>
  <c r="G113" i="10"/>
  <c r="E113" i="10"/>
  <c r="Q112" i="10"/>
  <c r="P112" i="10"/>
  <c r="M112" i="10"/>
  <c r="G112" i="10"/>
  <c r="E112" i="10"/>
  <c r="Q111" i="10"/>
  <c r="P111" i="10"/>
  <c r="M111" i="10"/>
  <c r="G111" i="10"/>
  <c r="E111" i="10"/>
  <c r="M110" i="10"/>
  <c r="G110" i="10"/>
  <c r="E110" i="10"/>
  <c r="M109" i="10"/>
  <c r="G109" i="10"/>
  <c r="E109" i="10"/>
  <c r="Q108" i="10"/>
  <c r="P108" i="10"/>
  <c r="M108" i="10"/>
  <c r="G108" i="10"/>
  <c r="E108" i="10"/>
  <c r="Q107" i="10"/>
  <c r="P107" i="10"/>
  <c r="M107" i="10"/>
  <c r="G107" i="10"/>
  <c r="E107" i="10"/>
  <c r="M106" i="10"/>
  <c r="G106" i="10"/>
  <c r="E106" i="10"/>
  <c r="M105" i="10"/>
  <c r="G105" i="10"/>
  <c r="E105" i="10"/>
  <c r="Q104" i="10"/>
  <c r="P104" i="10"/>
  <c r="M104" i="10"/>
  <c r="G104" i="10"/>
  <c r="E104" i="10"/>
  <c r="M103" i="10"/>
  <c r="G103" i="10"/>
  <c r="E103" i="10"/>
  <c r="M102" i="10"/>
  <c r="G102" i="10"/>
  <c r="E102" i="10"/>
  <c r="Q101" i="10"/>
  <c r="P101" i="10"/>
  <c r="M101" i="10"/>
  <c r="G101" i="10"/>
  <c r="E101" i="10"/>
  <c r="M100" i="10"/>
  <c r="G100" i="10"/>
  <c r="E100" i="10"/>
  <c r="M99" i="10"/>
  <c r="G99" i="10"/>
  <c r="E99" i="10"/>
  <c r="Q98" i="10"/>
  <c r="P98" i="10"/>
  <c r="M98" i="10"/>
  <c r="G98" i="10"/>
  <c r="E98" i="10"/>
  <c r="M97" i="10"/>
  <c r="G97" i="10"/>
  <c r="E97" i="10"/>
  <c r="M96" i="10"/>
  <c r="G96" i="10"/>
  <c r="E96" i="10"/>
  <c r="Q95" i="10"/>
  <c r="P95" i="10"/>
  <c r="M95" i="10"/>
  <c r="G95" i="10"/>
  <c r="E95" i="10"/>
  <c r="M94" i="10"/>
  <c r="G94" i="10"/>
  <c r="E94" i="10"/>
  <c r="M93" i="10"/>
  <c r="G93" i="10"/>
  <c r="E93" i="10"/>
  <c r="Q92" i="10"/>
  <c r="P92" i="10"/>
  <c r="M92" i="10"/>
  <c r="G92" i="10"/>
  <c r="E92" i="10"/>
  <c r="M91" i="10"/>
  <c r="G91" i="10"/>
  <c r="E91" i="10"/>
  <c r="M90" i="10"/>
  <c r="G90" i="10"/>
  <c r="E90" i="10"/>
  <c r="M89" i="10"/>
  <c r="G89" i="10"/>
  <c r="E89" i="10"/>
  <c r="M88" i="10"/>
  <c r="G88" i="10"/>
  <c r="E88" i="10"/>
  <c r="M87" i="10"/>
  <c r="E87" i="10"/>
  <c r="M86" i="10"/>
  <c r="E86" i="10"/>
  <c r="M85" i="10"/>
  <c r="E85" i="10"/>
  <c r="M84" i="10"/>
  <c r="E84" i="10"/>
  <c r="R200" i="10"/>
  <c r="Q200" i="10"/>
  <c r="P200" i="10"/>
  <c r="E16" i="8" l="1"/>
  <c r="Q20" i="8" l="1"/>
  <c r="P20" i="8"/>
  <c r="M20" i="8"/>
  <c r="G20" i="8"/>
  <c r="E20" i="8"/>
  <c r="M19" i="8"/>
  <c r="G19" i="8"/>
  <c r="E19" i="8"/>
  <c r="M18" i="8"/>
  <c r="G18" i="8"/>
  <c r="E18" i="8"/>
  <c r="M17" i="8"/>
  <c r="E17" i="8"/>
  <c r="M16" i="8"/>
  <c r="R15" i="8"/>
  <c r="Q15" i="8"/>
  <c r="P15" i="8"/>
  <c r="M15" i="8"/>
  <c r="G15" i="8"/>
  <c r="E15" i="8"/>
  <c r="M14" i="8"/>
  <c r="G14" i="8"/>
  <c r="E14" i="8"/>
  <c r="R13" i="8"/>
  <c r="Q13" i="8"/>
  <c r="P13" i="8"/>
  <c r="M13" i="8"/>
  <c r="E13" i="8"/>
  <c r="R12" i="8"/>
  <c r="P12" i="8"/>
  <c r="M12" i="8"/>
  <c r="G12" i="8"/>
  <c r="E12" i="8"/>
  <c r="M11" i="8"/>
  <c r="G11" i="8"/>
  <c r="E11" i="8"/>
  <c r="M10" i="8"/>
  <c r="G10" i="8"/>
  <c r="E10" i="8"/>
  <c r="M146" i="8" l="1"/>
  <c r="G146" i="8"/>
  <c r="E146" i="8"/>
  <c r="M145" i="8"/>
  <c r="G145" i="8"/>
  <c r="M144" i="8"/>
  <c r="G144" i="8"/>
  <c r="M143" i="8"/>
  <c r="G143" i="8"/>
  <c r="E143" i="8"/>
  <c r="M142" i="8"/>
  <c r="G142" i="8"/>
  <c r="E142" i="8"/>
  <c r="M141" i="8"/>
  <c r="G141" i="8"/>
  <c r="E141" i="8"/>
  <c r="M140" i="8"/>
  <c r="G140" i="8"/>
  <c r="E140" i="8"/>
  <c r="M139" i="8"/>
  <c r="G139" i="8"/>
  <c r="E139" i="8"/>
  <c r="M138" i="8"/>
  <c r="G138" i="8"/>
  <c r="E138" i="8"/>
  <c r="M137" i="8"/>
  <c r="E137" i="8"/>
  <c r="M136" i="8"/>
  <c r="E136" i="8"/>
  <c r="R135" i="8"/>
  <c r="Q135" i="8"/>
  <c r="P135" i="8"/>
  <c r="M135" i="8"/>
  <c r="G135" i="8"/>
  <c r="E135" i="8"/>
  <c r="M134" i="8"/>
  <c r="G134" i="8"/>
  <c r="E134" i="8"/>
  <c r="M133" i="8"/>
  <c r="G133" i="8"/>
  <c r="E133" i="8"/>
  <c r="M132" i="8"/>
  <c r="E132" i="8"/>
  <c r="M131" i="8"/>
  <c r="E131" i="8"/>
  <c r="R130" i="8"/>
  <c r="Q130" i="8"/>
  <c r="P130" i="8"/>
  <c r="M130" i="8"/>
  <c r="E130" i="8"/>
  <c r="Q129" i="8"/>
  <c r="P129" i="8"/>
  <c r="M129" i="8"/>
  <c r="G129" i="8"/>
  <c r="E129" i="8"/>
  <c r="M128" i="8"/>
  <c r="G128" i="8"/>
  <c r="E128" i="8"/>
  <c r="M127" i="8"/>
  <c r="G127" i="8"/>
  <c r="E127" i="8"/>
  <c r="Q126" i="8"/>
  <c r="P126" i="8"/>
  <c r="M126" i="8"/>
  <c r="G126" i="8"/>
  <c r="E126" i="8"/>
  <c r="M125" i="8"/>
  <c r="G125" i="8"/>
  <c r="E125" i="8"/>
  <c r="M124" i="8"/>
  <c r="G124" i="8"/>
  <c r="E124" i="8"/>
  <c r="Q123" i="8"/>
  <c r="P123" i="8"/>
  <c r="M123" i="8"/>
  <c r="G123" i="8"/>
  <c r="E123" i="8"/>
  <c r="Q122" i="8"/>
  <c r="P122" i="8"/>
  <c r="M122" i="8"/>
  <c r="G122" i="8"/>
  <c r="E122" i="8"/>
  <c r="Q121" i="8"/>
  <c r="P121" i="8"/>
  <c r="M121" i="8"/>
  <c r="G121" i="8"/>
  <c r="E121" i="8"/>
  <c r="Q120" i="8"/>
  <c r="P120" i="8"/>
  <c r="M120" i="8"/>
  <c r="G120" i="8"/>
  <c r="E120" i="8"/>
  <c r="M119" i="8"/>
  <c r="G119" i="8"/>
  <c r="E119" i="8"/>
  <c r="M118" i="8"/>
  <c r="G118" i="8"/>
  <c r="E118" i="8"/>
  <c r="Q117" i="8"/>
  <c r="P117" i="8"/>
  <c r="M117" i="8"/>
  <c r="G117" i="8"/>
  <c r="E117" i="8"/>
  <c r="M116" i="8"/>
  <c r="G116" i="8"/>
  <c r="E116" i="8"/>
  <c r="M115" i="8"/>
  <c r="G115" i="8"/>
  <c r="E115" i="8"/>
  <c r="Q114" i="8"/>
  <c r="P114" i="8"/>
  <c r="M114" i="8"/>
  <c r="G114" i="8"/>
  <c r="E114" i="8"/>
  <c r="Q113" i="8"/>
  <c r="P113" i="8"/>
  <c r="M113" i="8"/>
  <c r="G113" i="8"/>
  <c r="E113" i="8"/>
  <c r="M112" i="8"/>
  <c r="G112" i="8"/>
  <c r="E112" i="8"/>
  <c r="M111" i="8"/>
  <c r="G111" i="8"/>
  <c r="E111" i="8"/>
  <c r="Q110" i="8"/>
  <c r="P110" i="8"/>
  <c r="M110" i="8"/>
  <c r="G110" i="8"/>
  <c r="E110" i="8"/>
  <c r="M109" i="8"/>
  <c r="G109" i="8"/>
  <c r="E109" i="8"/>
  <c r="M108" i="8"/>
  <c r="G108" i="8"/>
  <c r="E108" i="8"/>
  <c r="Q107" i="8"/>
  <c r="P107" i="8"/>
  <c r="M107" i="8"/>
  <c r="G107" i="8"/>
  <c r="E107" i="8"/>
  <c r="M106" i="8"/>
  <c r="G106" i="8"/>
  <c r="E106" i="8"/>
  <c r="M105" i="8"/>
  <c r="G105" i="8"/>
  <c r="E105" i="8"/>
  <c r="Q104" i="8"/>
  <c r="P104" i="8"/>
  <c r="M104" i="8"/>
  <c r="G104" i="8"/>
  <c r="E104" i="8"/>
  <c r="Q103" i="8"/>
  <c r="P103" i="8"/>
  <c r="M103" i="8"/>
  <c r="G103" i="8"/>
  <c r="E103" i="8"/>
  <c r="M102" i="8"/>
  <c r="G102" i="8"/>
  <c r="E102" i="8"/>
  <c r="M101" i="8"/>
  <c r="G101" i="8"/>
  <c r="E101" i="8"/>
  <c r="Q100" i="8"/>
  <c r="P100" i="8"/>
  <c r="M100" i="8"/>
  <c r="G100" i="8"/>
  <c r="E100" i="8"/>
  <c r="Q99" i="8"/>
  <c r="P99" i="8"/>
  <c r="M99" i="8"/>
  <c r="G99" i="8"/>
  <c r="E99" i="8"/>
  <c r="H203" i="7" l="1"/>
  <c r="E229" i="8" l="1"/>
  <c r="M229" i="8"/>
  <c r="E230" i="8"/>
  <c r="M230" i="8"/>
  <c r="E231" i="8"/>
  <c r="G231" i="8"/>
  <c r="M231" i="8"/>
  <c r="E232" i="8"/>
  <c r="G232" i="8"/>
  <c r="M232" i="8"/>
  <c r="G233" i="8"/>
  <c r="M233" i="8"/>
  <c r="G234" i="8"/>
  <c r="M234" i="8"/>
  <c r="E235" i="8"/>
  <c r="G235" i="8"/>
  <c r="M235" i="8"/>
  <c r="E236" i="8"/>
  <c r="G236" i="8"/>
  <c r="M236" i="8"/>
  <c r="E237" i="8"/>
  <c r="M237" i="8"/>
  <c r="P237" i="8"/>
  <c r="Q237" i="8"/>
  <c r="R237" i="8"/>
  <c r="E238" i="8"/>
  <c r="M238" i="8"/>
  <c r="P238" i="8"/>
  <c r="Q238" i="8"/>
  <c r="R238" i="8"/>
  <c r="E239" i="8"/>
  <c r="G239" i="8"/>
  <c r="M239" i="8"/>
  <c r="P239" i="8"/>
  <c r="Q239" i="8"/>
  <c r="E240" i="8"/>
  <c r="G240" i="8"/>
  <c r="M240" i="8"/>
  <c r="E241" i="8"/>
  <c r="G241" i="8"/>
  <c r="M241" i="8"/>
  <c r="E242" i="8"/>
  <c r="G242" i="8"/>
  <c r="M242" i="8"/>
  <c r="P242" i="8"/>
  <c r="Q242" i="8"/>
  <c r="R249" i="8" l="1"/>
  <c r="Q249" i="8"/>
  <c r="P249" i="8"/>
  <c r="M249" i="8"/>
  <c r="G249" i="8"/>
  <c r="E249" i="8"/>
  <c r="M248" i="8"/>
  <c r="G248" i="8"/>
  <c r="E248" i="8"/>
  <c r="M247" i="8"/>
  <c r="E247" i="8"/>
  <c r="M246" i="8"/>
  <c r="E246" i="8"/>
  <c r="M245" i="8"/>
  <c r="G245" i="8"/>
  <c r="E245" i="8"/>
  <c r="M244" i="8"/>
  <c r="E244" i="8"/>
  <c r="M243" i="8"/>
  <c r="E243" i="8"/>
  <c r="E178" i="7" l="1"/>
  <c r="E74" i="6" l="1"/>
  <c r="H302" i="6" l="1"/>
  <c r="E192" i="7" l="1"/>
  <c r="Q194" i="7"/>
  <c r="P194" i="7"/>
  <c r="M194" i="7"/>
  <c r="G194" i="7"/>
  <c r="E194" i="7"/>
  <c r="M193" i="7"/>
  <c r="G193" i="7"/>
  <c r="E193" i="7"/>
  <c r="M192" i="7"/>
  <c r="G192" i="7"/>
  <c r="M191" i="7"/>
  <c r="G191" i="7"/>
  <c r="R190" i="7"/>
  <c r="Q190" i="7"/>
  <c r="P190" i="7"/>
  <c r="M190" i="7"/>
  <c r="G190" i="7"/>
  <c r="E190" i="7"/>
  <c r="M189" i="7"/>
  <c r="G189" i="7"/>
  <c r="E189" i="7"/>
  <c r="M188" i="7"/>
  <c r="G188" i="7"/>
  <c r="E188" i="7"/>
  <c r="M187" i="7"/>
  <c r="G187" i="7"/>
  <c r="E187" i="7"/>
  <c r="M186" i="7"/>
  <c r="G186" i="7"/>
  <c r="E186" i="7"/>
  <c r="M185" i="7"/>
  <c r="G185" i="7"/>
  <c r="E185" i="7"/>
  <c r="M184" i="7"/>
  <c r="E184" i="7"/>
  <c r="M183" i="7"/>
  <c r="E183" i="7"/>
  <c r="M182" i="7"/>
  <c r="E182" i="7"/>
  <c r="M181" i="7"/>
  <c r="E181" i="7"/>
  <c r="M180" i="7"/>
  <c r="G180" i="7"/>
  <c r="E180" i="7"/>
  <c r="M179" i="7"/>
  <c r="E179" i="7"/>
  <c r="M178" i="7"/>
  <c r="E70" i="6" l="1"/>
  <c r="E69" i="6"/>
  <c r="E68" i="6"/>
  <c r="Q156" i="6" l="1"/>
  <c r="P156" i="6"/>
  <c r="M156" i="6"/>
  <c r="G156" i="6"/>
  <c r="E156" i="6"/>
  <c r="M155" i="6"/>
  <c r="G155" i="6"/>
  <c r="E155" i="6"/>
  <c r="M154" i="6"/>
  <c r="E154" i="6"/>
  <c r="M153" i="6"/>
  <c r="E153" i="6"/>
  <c r="M152" i="6"/>
  <c r="G152" i="6"/>
  <c r="E152" i="6"/>
  <c r="M151" i="6"/>
  <c r="G151" i="6"/>
  <c r="E151" i="6"/>
  <c r="M150" i="6"/>
  <c r="E150" i="6"/>
  <c r="M149" i="6"/>
  <c r="E149" i="6"/>
  <c r="Q148" i="6"/>
  <c r="P148" i="6"/>
  <c r="M148" i="6"/>
  <c r="G148" i="6"/>
  <c r="E148" i="6"/>
  <c r="Q147" i="6"/>
  <c r="P147" i="6"/>
  <c r="M147" i="6"/>
  <c r="G147" i="6"/>
  <c r="E147" i="6"/>
  <c r="Q146" i="6"/>
  <c r="P146" i="6"/>
  <c r="M146" i="6"/>
  <c r="G146" i="6"/>
  <c r="E146" i="6"/>
  <c r="M145" i="6"/>
  <c r="G145" i="6"/>
  <c r="E145" i="6"/>
  <c r="M144" i="6"/>
  <c r="G144" i="6"/>
  <c r="E144" i="6"/>
  <c r="Q143" i="6"/>
  <c r="P143" i="6"/>
  <c r="M143" i="6"/>
  <c r="G143" i="6"/>
  <c r="E143" i="6"/>
  <c r="M142" i="6"/>
  <c r="G142" i="6"/>
  <c r="E142" i="6"/>
  <c r="M141" i="6"/>
  <c r="G141" i="6"/>
  <c r="E141" i="6"/>
  <c r="Q140" i="6"/>
  <c r="P140" i="6"/>
  <c r="M140" i="6"/>
  <c r="G140" i="6"/>
  <c r="E140" i="6"/>
  <c r="Q139" i="6"/>
  <c r="P139" i="6"/>
  <c r="M139" i="6"/>
  <c r="G139" i="6"/>
  <c r="E139" i="6"/>
  <c r="M138" i="6"/>
  <c r="G138" i="6"/>
  <c r="E138" i="6"/>
  <c r="M137" i="6"/>
  <c r="G137" i="6"/>
  <c r="E137" i="6"/>
  <c r="Q136" i="6"/>
  <c r="P136" i="6"/>
  <c r="M136" i="6"/>
  <c r="G136" i="6"/>
  <c r="E136" i="6"/>
  <c r="M135" i="6"/>
  <c r="G135" i="6"/>
  <c r="E135" i="6"/>
  <c r="M134" i="6"/>
  <c r="G134" i="6"/>
  <c r="E134" i="6"/>
  <c r="Q133" i="6"/>
  <c r="P133" i="6"/>
  <c r="M133" i="6"/>
  <c r="G133" i="6"/>
  <c r="E133" i="6"/>
  <c r="M132" i="6"/>
  <c r="G132" i="6"/>
  <c r="E132" i="6"/>
  <c r="M131" i="6"/>
  <c r="G131" i="6"/>
  <c r="E131" i="6"/>
  <c r="Q130" i="6"/>
  <c r="P130" i="6"/>
  <c r="M130" i="6"/>
  <c r="G130" i="6"/>
  <c r="E130" i="6"/>
  <c r="M129" i="6"/>
  <c r="G129" i="6"/>
  <c r="E129" i="6"/>
  <c r="M128" i="6"/>
  <c r="G128" i="6"/>
  <c r="E128" i="6"/>
  <c r="Q127" i="6"/>
  <c r="P127" i="6"/>
  <c r="M127" i="6"/>
  <c r="G127" i="6"/>
  <c r="E127" i="6"/>
  <c r="Q126" i="6"/>
  <c r="P126" i="6"/>
  <c r="M126" i="6"/>
  <c r="G126" i="6"/>
  <c r="E126" i="6"/>
  <c r="M125" i="6"/>
  <c r="G125" i="6"/>
  <c r="E125" i="6"/>
  <c r="M124" i="6"/>
  <c r="G124" i="6"/>
  <c r="E124" i="6"/>
  <c r="Q123" i="6"/>
  <c r="P123" i="6"/>
  <c r="M123" i="6"/>
  <c r="G123" i="6"/>
  <c r="E123" i="6"/>
  <c r="M122" i="6"/>
  <c r="G122" i="6"/>
  <c r="E122" i="6"/>
  <c r="M121" i="6"/>
  <c r="G121" i="6"/>
  <c r="E121" i="6"/>
  <c r="Q120" i="6"/>
  <c r="P120" i="6"/>
  <c r="M120" i="6"/>
  <c r="G120" i="6"/>
  <c r="E120" i="6"/>
  <c r="M119" i="6"/>
  <c r="G119" i="6"/>
  <c r="E119" i="6"/>
  <c r="M118" i="6"/>
  <c r="G118" i="6"/>
  <c r="E118" i="6"/>
  <c r="Q117" i="6"/>
  <c r="P117" i="6"/>
  <c r="M117" i="6"/>
  <c r="G117" i="6"/>
  <c r="E117" i="6"/>
  <c r="Q116" i="6"/>
  <c r="P116" i="6"/>
  <c r="M116" i="6"/>
  <c r="G116" i="6"/>
  <c r="E116" i="6"/>
  <c r="Q115" i="6"/>
  <c r="P115" i="6"/>
  <c r="M115" i="6"/>
  <c r="G115" i="6"/>
  <c r="E115" i="6"/>
  <c r="M114" i="6"/>
  <c r="G114" i="6"/>
  <c r="E114" i="6"/>
  <c r="M113" i="6"/>
  <c r="G113" i="6"/>
  <c r="E113" i="6"/>
  <c r="Q112" i="6"/>
  <c r="P112" i="6"/>
  <c r="M112" i="6"/>
  <c r="G112" i="6"/>
  <c r="E112" i="6"/>
  <c r="M111" i="6"/>
  <c r="G111" i="6"/>
  <c r="E111" i="6"/>
  <c r="M110" i="6"/>
  <c r="G110" i="6"/>
  <c r="E110" i="6"/>
  <c r="Q109" i="6"/>
  <c r="P109" i="6"/>
  <c r="M109" i="6"/>
  <c r="G109" i="6"/>
  <c r="E109" i="6"/>
  <c r="Q108" i="6"/>
  <c r="P108" i="6"/>
  <c r="M108" i="6"/>
  <c r="G108" i="6"/>
  <c r="E108" i="6"/>
  <c r="Q107" i="6"/>
  <c r="P107" i="6"/>
  <c r="M107" i="6"/>
  <c r="G107" i="6"/>
  <c r="E107" i="6"/>
  <c r="M106" i="6"/>
  <c r="G106" i="6"/>
  <c r="E106" i="6"/>
  <c r="M105" i="6"/>
  <c r="G105" i="6"/>
  <c r="E105" i="6"/>
  <c r="Q104" i="6"/>
  <c r="P104" i="6"/>
  <c r="M104" i="6"/>
  <c r="G104" i="6"/>
  <c r="E104" i="6"/>
  <c r="M103" i="6"/>
  <c r="G103" i="6"/>
  <c r="E103" i="6"/>
  <c r="M102" i="6"/>
  <c r="G102" i="6"/>
  <c r="E102" i="6"/>
  <c r="Q101" i="6"/>
  <c r="P101" i="6"/>
  <c r="M101" i="6"/>
  <c r="G101" i="6"/>
  <c r="E101" i="6"/>
  <c r="M100" i="6"/>
  <c r="G100" i="6"/>
  <c r="E100" i="6"/>
  <c r="M99" i="6"/>
  <c r="G99" i="6"/>
  <c r="E99" i="6"/>
  <c r="Q98" i="6"/>
  <c r="P98" i="6"/>
  <c r="M98" i="6"/>
  <c r="G98" i="6"/>
  <c r="E98" i="6"/>
  <c r="Q97" i="6"/>
  <c r="P97" i="6"/>
  <c r="M97" i="6"/>
  <c r="G97" i="6"/>
  <c r="E97" i="6"/>
  <c r="M96" i="6"/>
  <c r="G96" i="6"/>
  <c r="E96" i="6"/>
  <c r="M95" i="6"/>
  <c r="G95" i="6"/>
  <c r="E95" i="6"/>
  <c r="Q94" i="6"/>
  <c r="P94" i="6"/>
  <c r="M94" i="6"/>
  <c r="G94" i="6"/>
  <c r="E94" i="6"/>
  <c r="Q93" i="6"/>
  <c r="P93" i="6"/>
  <c r="M93" i="6"/>
  <c r="G93" i="6"/>
  <c r="E93" i="6"/>
  <c r="M92" i="6"/>
  <c r="G92" i="6"/>
  <c r="E92" i="6"/>
  <c r="M91" i="6"/>
  <c r="G91" i="6"/>
  <c r="E91" i="6"/>
  <c r="Q90" i="6"/>
  <c r="P90" i="6"/>
  <c r="M90" i="6"/>
  <c r="G90" i="6"/>
  <c r="E90" i="6"/>
  <c r="M89" i="6"/>
  <c r="G89" i="6"/>
  <c r="E89" i="6"/>
  <c r="M88" i="6"/>
  <c r="G88" i="6"/>
  <c r="E88" i="6"/>
  <c r="Q87" i="6"/>
  <c r="P87" i="6"/>
  <c r="M87" i="6"/>
  <c r="G87" i="6"/>
  <c r="E87" i="6"/>
  <c r="M86" i="6"/>
  <c r="G86" i="6"/>
  <c r="E86" i="6"/>
  <c r="M85" i="6"/>
  <c r="G85" i="6"/>
  <c r="E85" i="6"/>
  <c r="Q84" i="6"/>
  <c r="P84" i="6"/>
  <c r="M84" i="6"/>
  <c r="G84" i="6"/>
  <c r="E84" i="6"/>
  <c r="M83" i="6"/>
  <c r="G83" i="6"/>
  <c r="E83" i="6"/>
  <c r="M82" i="6"/>
  <c r="G82" i="6"/>
  <c r="E82" i="6"/>
  <c r="Q81" i="6"/>
  <c r="P81" i="6"/>
  <c r="M81" i="6"/>
  <c r="G81" i="6"/>
  <c r="E81" i="6"/>
  <c r="R80" i="6"/>
  <c r="Q80" i="6"/>
  <c r="M80" i="6"/>
  <c r="G80" i="6"/>
  <c r="E80" i="6"/>
  <c r="M79" i="6"/>
  <c r="G79" i="6"/>
  <c r="E79" i="6"/>
  <c r="M78" i="6"/>
  <c r="G78" i="6"/>
  <c r="E78" i="6"/>
  <c r="M77" i="6"/>
  <c r="G77" i="6"/>
  <c r="M76" i="6"/>
  <c r="G76" i="6"/>
  <c r="E76" i="6"/>
  <c r="Q75" i="6"/>
  <c r="M75" i="6"/>
  <c r="G75" i="6"/>
  <c r="E75" i="6"/>
  <c r="M74" i="6"/>
  <c r="G74" i="6"/>
  <c r="M73" i="6"/>
  <c r="G73" i="6"/>
  <c r="M72" i="6"/>
  <c r="G72" i="6"/>
  <c r="E72" i="6"/>
  <c r="M71" i="6"/>
  <c r="G71" i="6"/>
  <c r="E71" i="6"/>
  <c r="Q70" i="6"/>
  <c r="P70" i="6"/>
  <c r="M70" i="6"/>
  <c r="G70" i="6"/>
  <c r="M69" i="6"/>
  <c r="G69" i="6"/>
  <c r="M68" i="6"/>
  <c r="G68" i="6"/>
  <c r="M67" i="6"/>
  <c r="G67" i="6"/>
  <c r="E67" i="6"/>
  <c r="Q66" i="6"/>
  <c r="P66" i="6"/>
  <c r="M66" i="6"/>
  <c r="G66" i="6"/>
  <c r="E66" i="6"/>
  <c r="M65" i="6"/>
  <c r="G65" i="6"/>
  <c r="E65" i="6"/>
  <c r="M64" i="6"/>
  <c r="G64" i="6"/>
  <c r="E64" i="6"/>
  <c r="Q63" i="6"/>
  <c r="P63" i="6"/>
  <c r="M63" i="6"/>
  <c r="G63" i="6"/>
  <c r="E63" i="6"/>
  <c r="Q62" i="6"/>
  <c r="P62" i="6"/>
  <c r="M62" i="6"/>
  <c r="G62" i="6"/>
  <c r="E62" i="6"/>
  <c r="M61" i="6"/>
  <c r="G61" i="6"/>
  <c r="E61" i="6"/>
  <c r="M60" i="6"/>
  <c r="G60" i="6"/>
  <c r="E60" i="6"/>
  <c r="Q59" i="6"/>
  <c r="P59" i="6"/>
  <c r="M59" i="6"/>
  <c r="G59" i="6"/>
  <c r="E59" i="6"/>
  <c r="M58" i="6"/>
  <c r="G58" i="6"/>
  <c r="E58" i="6"/>
  <c r="M57" i="6"/>
  <c r="G57" i="6"/>
  <c r="E57" i="6"/>
  <c r="Q56" i="6"/>
  <c r="P56" i="6"/>
  <c r="M56" i="6"/>
  <c r="G56" i="6"/>
  <c r="E56" i="6"/>
  <c r="Q55" i="6"/>
  <c r="P55" i="6"/>
  <c r="M55" i="6"/>
  <c r="G55" i="6"/>
  <c r="E55" i="6"/>
  <c r="M54" i="6"/>
  <c r="G54" i="6"/>
  <c r="E54" i="6"/>
  <c r="M53" i="6"/>
  <c r="G53" i="6"/>
  <c r="E53" i="6"/>
  <c r="Q52" i="6"/>
  <c r="P52" i="6"/>
  <c r="M52" i="6"/>
  <c r="G52" i="6"/>
  <c r="E52" i="6"/>
  <c r="M51" i="6"/>
  <c r="G51" i="6"/>
  <c r="E51" i="6"/>
  <c r="M50" i="6"/>
  <c r="G50" i="6"/>
  <c r="E50" i="6"/>
  <c r="Q49" i="6"/>
  <c r="P49" i="6"/>
  <c r="M49" i="6"/>
  <c r="G49" i="6"/>
  <c r="E49" i="6"/>
  <c r="Q48" i="6"/>
  <c r="P48" i="6"/>
  <c r="M48" i="6"/>
  <c r="G48" i="6"/>
  <c r="E48" i="6"/>
  <c r="Q47" i="6"/>
  <c r="P47" i="6"/>
  <c r="M47" i="6"/>
  <c r="G47" i="6"/>
  <c r="E47" i="6"/>
  <c r="M46" i="6"/>
  <c r="G46" i="6"/>
  <c r="E46" i="6"/>
  <c r="M45" i="6"/>
  <c r="G45" i="6"/>
  <c r="E45" i="6"/>
  <c r="Q44" i="6"/>
  <c r="P44" i="6"/>
  <c r="M44" i="6"/>
  <c r="G44" i="6"/>
  <c r="E44" i="6"/>
  <c r="M43" i="6"/>
  <c r="G43" i="6"/>
  <c r="E43" i="6"/>
  <c r="M42" i="6"/>
  <c r="G42" i="6"/>
  <c r="E42" i="6"/>
  <c r="Q41" i="6"/>
  <c r="P41" i="6"/>
  <c r="M41" i="6"/>
  <c r="G41" i="6"/>
  <c r="E41" i="6"/>
  <c r="M40" i="6"/>
  <c r="G40" i="6"/>
  <c r="E40" i="6"/>
  <c r="M39" i="6"/>
  <c r="G39" i="6"/>
  <c r="E39" i="6"/>
  <c r="Q38" i="6"/>
  <c r="P38" i="6"/>
  <c r="M38" i="6"/>
  <c r="G38" i="6"/>
  <c r="E38" i="6"/>
  <c r="Q37" i="6"/>
  <c r="P37" i="6"/>
  <c r="M37" i="6"/>
  <c r="G37" i="6"/>
  <c r="E37" i="6"/>
  <c r="M36" i="6"/>
  <c r="G36" i="6"/>
  <c r="E36" i="6"/>
  <c r="M35" i="6"/>
  <c r="G35" i="6"/>
  <c r="E35" i="6"/>
  <c r="Q34" i="6"/>
  <c r="P34" i="6"/>
  <c r="M34" i="6"/>
  <c r="G34" i="6"/>
  <c r="E34" i="6"/>
  <c r="M33" i="6"/>
  <c r="G33" i="6"/>
  <c r="E33" i="6"/>
  <c r="M32" i="6"/>
  <c r="G32" i="6"/>
  <c r="E32" i="6"/>
  <c r="Q31" i="6"/>
  <c r="P31" i="6"/>
  <c r="M31" i="6"/>
  <c r="G31" i="6"/>
  <c r="E31" i="6"/>
  <c r="M30" i="6"/>
  <c r="G30" i="6"/>
  <c r="E30" i="6"/>
  <c r="M29" i="6"/>
  <c r="G29" i="6"/>
  <c r="E29" i="6"/>
  <c r="Q28" i="6"/>
  <c r="P28" i="6"/>
  <c r="M28" i="6"/>
  <c r="G28" i="6"/>
  <c r="E28" i="6"/>
  <c r="Q27" i="6"/>
  <c r="P27" i="6"/>
  <c r="M27" i="6"/>
  <c r="G27" i="6"/>
  <c r="E27" i="6"/>
  <c r="Q26" i="6"/>
  <c r="P26" i="6"/>
  <c r="M26" i="6"/>
  <c r="G26" i="6"/>
  <c r="E26" i="6"/>
  <c r="M25" i="6"/>
  <c r="G25" i="6"/>
  <c r="E25" i="6"/>
  <c r="M24" i="6"/>
  <c r="G24" i="6"/>
  <c r="E24" i="6"/>
  <c r="Q23" i="6"/>
  <c r="P23" i="6"/>
  <c r="M23" i="6"/>
  <c r="G23" i="6"/>
  <c r="E23" i="6"/>
  <c r="M22" i="6"/>
  <c r="G22" i="6"/>
  <c r="E22" i="6"/>
  <c r="M21" i="6"/>
  <c r="G21" i="6"/>
  <c r="E21" i="6"/>
  <c r="Q20" i="6"/>
  <c r="P20" i="6"/>
  <c r="M20" i="6"/>
  <c r="G20" i="6"/>
  <c r="E20" i="6"/>
  <c r="M19" i="6"/>
  <c r="G19" i="6"/>
  <c r="E19" i="6"/>
  <c r="M18" i="6"/>
  <c r="G18" i="6"/>
  <c r="E18" i="6"/>
  <c r="Q17" i="6"/>
  <c r="P17" i="6"/>
  <c r="M17" i="6"/>
  <c r="G17" i="6"/>
  <c r="E17" i="6"/>
  <c r="M16" i="6"/>
  <c r="G16" i="6"/>
  <c r="E16" i="6"/>
  <c r="M15" i="6"/>
  <c r="G15" i="6"/>
  <c r="E15" i="6"/>
  <c r="Q14" i="6"/>
  <c r="P14" i="6"/>
  <c r="M14" i="6"/>
  <c r="G14" i="6"/>
  <c r="E14" i="6"/>
  <c r="M13" i="6"/>
  <c r="G13" i="6"/>
  <c r="E13" i="6"/>
  <c r="M12" i="6"/>
  <c r="E12" i="6"/>
  <c r="M11" i="6"/>
  <c r="E11" i="6"/>
  <c r="M10" i="6"/>
  <c r="G10" i="6"/>
  <c r="E10" i="6"/>
  <c r="M9" i="6"/>
  <c r="G9" i="6"/>
  <c r="E9" i="6"/>
  <c r="Q8" i="6"/>
  <c r="P8" i="6"/>
  <c r="M8" i="6"/>
  <c r="G8" i="6"/>
  <c r="E8" i="6"/>
  <c r="M157" i="6" l="1"/>
  <c r="M165" i="6"/>
  <c r="G165" i="6"/>
  <c r="E165" i="6"/>
  <c r="M164" i="6"/>
  <c r="G164" i="6"/>
  <c r="E164" i="6"/>
  <c r="Q163" i="6"/>
  <c r="P163" i="6"/>
  <c r="M163" i="6"/>
  <c r="G163" i="6"/>
  <c r="E163" i="6"/>
  <c r="M162" i="6"/>
  <c r="G162" i="6"/>
  <c r="E162" i="6"/>
  <c r="M161" i="6"/>
  <c r="E161" i="6"/>
  <c r="M160" i="6"/>
  <c r="E160" i="6"/>
  <c r="M159" i="6"/>
  <c r="G159" i="6"/>
  <c r="E159" i="6"/>
  <c r="M158" i="6"/>
  <c r="E158" i="6"/>
  <c r="E157" i="6"/>
  <c r="H277" i="4" l="1"/>
  <c r="M157" i="4" l="1"/>
  <c r="G157" i="4"/>
  <c r="E157" i="4"/>
  <c r="M156" i="4"/>
  <c r="G156" i="4"/>
  <c r="E156" i="4"/>
  <c r="M155" i="4"/>
  <c r="G155" i="4"/>
  <c r="M154" i="4"/>
  <c r="G154" i="4"/>
  <c r="E154" i="4"/>
  <c r="M153" i="4"/>
  <c r="G153" i="4"/>
  <c r="E153" i="4"/>
  <c r="M152" i="4"/>
  <c r="G152" i="4"/>
  <c r="M151" i="4"/>
  <c r="G151" i="4"/>
  <c r="E151" i="4"/>
  <c r="M150" i="4"/>
  <c r="G150" i="4"/>
  <c r="E150" i="4"/>
  <c r="M149" i="4"/>
  <c r="G149" i="4"/>
  <c r="M148" i="4"/>
  <c r="G148" i="4"/>
  <c r="E148" i="4"/>
  <c r="M147" i="4"/>
  <c r="G147" i="4"/>
  <c r="E147" i="4"/>
  <c r="M146" i="4"/>
  <c r="G146" i="4"/>
  <c r="E146" i="4"/>
  <c r="M145" i="4"/>
  <c r="G145" i="4"/>
  <c r="E145" i="4"/>
  <c r="M144" i="4"/>
  <c r="G144" i="4"/>
  <c r="E144" i="4"/>
  <c r="M143" i="4"/>
  <c r="G143" i="4"/>
  <c r="E143" i="4"/>
  <c r="M142" i="4"/>
  <c r="G142" i="4"/>
  <c r="E142" i="4"/>
  <c r="M141" i="4"/>
  <c r="E141" i="4"/>
  <c r="M140" i="4"/>
  <c r="E140" i="4"/>
  <c r="M139" i="4"/>
  <c r="E139" i="4"/>
  <c r="M138" i="4"/>
  <c r="E138" i="4"/>
  <c r="M137" i="4"/>
  <c r="G137" i="4"/>
  <c r="E137" i="4"/>
  <c r="M136" i="4"/>
  <c r="G136" i="4"/>
  <c r="E136" i="4"/>
  <c r="Q135" i="4"/>
  <c r="P135" i="4"/>
  <c r="M135" i="4"/>
  <c r="G135" i="4"/>
  <c r="E135" i="4"/>
  <c r="Q134" i="4"/>
  <c r="P134" i="4"/>
  <c r="M134" i="4"/>
  <c r="G134" i="4"/>
  <c r="E134" i="4"/>
  <c r="M133" i="4"/>
  <c r="G133" i="4"/>
  <c r="E133" i="4"/>
  <c r="M132" i="4"/>
  <c r="G132" i="4"/>
  <c r="E132" i="4"/>
  <c r="Q131" i="4"/>
  <c r="P131" i="4"/>
  <c r="M131" i="4"/>
  <c r="G131" i="4"/>
  <c r="E131" i="4"/>
  <c r="M130" i="4"/>
  <c r="G130" i="4"/>
  <c r="E130" i="4"/>
  <c r="M129" i="4"/>
  <c r="E129" i="4"/>
  <c r="M128" i="4"/>
  <c r="E128" i="4"/>
  <c r="R127" i="4"/>
  <c r="Q127" i="4"/>
  <c r="P127" i="4"/>
  <c r="M127" i="4"/>
  <c r="G127" i="4"/>
  <c r="E127" i="4"/>
  <c r="M126" i="4"/>
  <c r="G126" i="4"/>
  <c r="E126" i="4"/>
  <c r="M125" i="4"/>
  <c r="G125" i="4"/>
  <c r="E125" i="4"/>
  <c r="Q124" i="4"/>
  <c r="P124" i="4"/>
  <c r="M124" i="4"/>
  <c r="G124" i="4"/>
  <c r="E124" i="4"/>
  <c r="M123" i="4"/>
  <c r="G123" i="4"/>
  <c r="E123" i="4"/>
  <c r="M122" i="4"/>
  <c r="G122" i="4"/>
  <c r="E122" i="4"/>
  <c r="Q121" i="4"/>
  <c r="P121" i="4"/>
  <c r="M121" i="4"/>
  <c r="G121" i="4"/>
  <c r="E121" i="4"/>
  <c r="M120" i="4"/>
  <c r="G120" i="4"/>
  <c r="E120" i="4"/>
  <c r="M119" i="4"/>
  <c r="G119" i="4"/>
  <c r="E119" i="4"/>
  <c r="Q118" i="4"/>
  <c r="P118" i="4"/>
  <c r="M118" i="4"/>
  <c r="G118" i="4"/>
  <c r="E118" i="4"/>
  <c r="Q117" i="4"/>
  <c r="P117" i="4"/>
  <c r="M117" i="4"/>
  <c r="G117" i="4"/>
  <c r="E117" i="4"/>
  <c r="Q116" i="4"/>
  <c r="P116" i="4"/>
  <c r="M116" i="4"/>
  <c r="G116" i="4"/>
  <c r="E116" i="4"/>
  <c r="M115" i="4"/>
  <c r="G115" i="4"/>
  <c r="E115" i="4"/>
  <c r="M114" i="4"/>
  <c r="G114" i="4"/>
  <c r="E114" i="4"/>
  <c r="Q113" i="4"/>
  <c r="P113" i="4"/>
  <c r="M113" i="4"/>
  <c r="G113" i="4"/>
  <c r="E113" i="4"/>
  <c r="Q112" i="4"/>
  <c r="P112" i="4"/>
  <c r="M112" i="4"/>
  <c r="G112" i="4"/>
  <c r="E112" i="4"/>
  <c r="Q111" i="4"/>
  <c r="P111" i="4"/>
  <c r="M111" i="4"/>
  <c r="G111" i="4"/>
  <c r="E111" i="4"/>
  <c r="Q110" i="4"/>
  <c r="P110" i="4"/>
  <c r="M110" i="4"/>
  <c r="G110" i="4"/>
  <c r="E110" i="4"/>
  <c r="M109" i="4"/>
  <c r="G109" i="4"/>
  <c r="E109" i="4"/>
  <c r="M108" i="4"/>
  <c r="G108" i="4"/>
  <c r="E108" i="4"/>
  <c r="Q107" i="4"/>
  <c r="P107" i="4"/>
  <c r="M107" i="4"/>
  <c r="G107" i="4"/>
  <c r="E107" i="4"/>
  <c r="M106" i="4"/>
  <c r="G106" i="4"/>
  <c r="E106" i="4"/>
  <c r="M105" i="4"/>
  <c r="G105" i="4"/>
  <c r="E105" i="4"/>
  <c r="Q104" i="4"/>
  <c r="P104" i="4"/>
  <c r="M104" i="4"/>
  <c r="G104" i="4"/>
  <c r="E104" i="4"/>
  <c r="Q103" i="4"/>
  <c r="P103" i="4"/>
  <c r="M103" i="4"/>
  <c r="G103" i="4"/>
  <c r="E103" i="4"/>
  <c r="M102" i="4"/>
  <c r="G102" i="4"/>
  <c r="E102" i="4"/>
  <c r="M101" i="4"/>
  <c r="G101" i="4"/>
  <c r="E101" i="4"/>
  <c r="Q100" i="4"/>
  <c r="P100" i="4"/>
  <c r="M100" i="4"/>
  <c r="G100" i="4"/>
  <c r="E100" i="4"/>
  <c r="M99" i="4"/>
  <c r="G99" i="4"/>
  <c r="E99" i="4"/>
  <c r="M98" i="4"/>
  <c r="G98" i="4"/>
  <c r="E98" i="4"/>
  <c r="Q97" i="4"/>
  <c r="P97" i="4"/>
  <c r="M97" i="4"/>
  <c r="G97" i="4"/>
  <c r="E97" i="4"/>
  <c r="M96" i="4"/>
  <c r="G96" i="4"/>
  <c r="E96" i="4"/>
  <c r="M95" i="4"/>
  <c r="G95" i="4"/>
  <c r="E95" i="4"/>
  <c r="Q94" i="4"/>
  <c r="P94" i="4"/>
  <c r="M94" i="4"/>
  <c r="G94" i="4"/>
  <c r="E94" i="4"/>
  <c r="M93" i="4"/>
  <c r="G93" i="4"/>
  <c r="E93" i="4"/>
  <c r="M92" i="4"/>
  <c r="G92" i="4"/>
  <c r="E92" i="4"/>
  <c r="Q91" i="4"/>
  <c r="P91" i="4"/>
  <c r="M91" i="4"/>
  <c r="G91" i="4"/>
  <c r="E91" i="4"/>
  <c r="E251" i="4" l="1"/>
  <c r="M251" i="4"/>
  <c r="P251" i="4"/>
  <c r="Q251" i="4"/>
  <c r="R251" i="4"/>
  <c r="E252" i="4"/>
  <c r="M252" i="4"/>
  <c r="P252" i="4"/>
  <c r="Q252" i="4"/>
  <c r="R252" i="4"/>
  <c r="E253" i="4"/>
  <c r="M253" i="4"/>
  <c r="P253" i="4"/>
  <c r="Q253" i="4"/>
  <c r="R253" i="4"/>
  <c r="E254" i="4"/>
  <c r="M254" i="4"/>
  <c r="P254" i="4"/>
  <c r="Q254" i="4"/>
  <c r="R254" i="4"/>
  <c r="E255" i="4"/>
  <c r="M255" i="4"/>
  <c r="E256" i="4"/>
  <c r="M256" i="4"/>
  <c r="E257" i="4"/>
  <c r="M257" i="4"/>
  <c r="H307" i="5" l="1"/>
  <c r="M268" i="4" l="1"/>
  <c r="G268" i="4"/>
  <c r="E268" i="4"/>
  <c r="Q267" i="4"/>
  <c r="P267" i="4"/>
  <c r="M267" i="4"/>
  <c r="G267" i="4"/>
  <c r="E267" i="4"/>
  <c r="M266" i="4"/>
  <c r="G266" i="4"/>
  <c r="E266" i="4"/>
  <c r="M265" i="4"/>
  <c r="G265" i="4"/>
  <c r="E265" i="4"/>
  <c r="Q264" i="4"/>
  <c r="P264" i="4"/>
  <c r="M264" i="4"/>
  <c r="G264" i="4"/>
  <c r="E264" i="4"/>
  <c r="M263" i="4"/>
  <c r="G263" i="4"/>
  <c r="E263" i="4"/>
  <c r="M262" i="4"/>
  <c r="G262" i="4"/>
  <c r="E262" i="4"/>
  <c r="Q261" i="4"/>
  <c r="P261" i="4"/>
  <c r="M261" i="4"/>
  <c r="G261" i="4"/>
  <c r="E261" i="4"/>
  <c r="M260" i="4"/>
  <c r="G260" i="4"/>
  <c r="E260" i="4"/>
  <c r="M259" i="4"/>
  <c r="G259" i="4"/>
  <c r="E259" i="4"/>
  <c r="M258" i="4"/>
  <c r="E258" i="4"/>
  <c r="R102" i="5" l="1"/>
  <c r="Q102" i="5"/>
  <c r="P102" i="5"/>
  <c r="M102" i="5"/>
  <c r="E102" i="5"/>
  <c r="Q101" i="5"/>
  <c r="P101" i="5"/>
  <c r="M101" i="5"/>
  <c r="G101" i="5"/>
  <c r="E101" i="5"/>
  <c r="M100" i="5"/>
  <c r="G100" i="5"/>
  <c r="E100" i="5"/>
  <c r="M99" i="5"/>
  <c r="G99" i="5"/>
  <c r="E99" i="5"/>
  <c r="Q98" i="5"/>
  <c r="P98" i="5"/>
  <c r="M98" i="5"/>
  <c r="G98" i="5"/>
  <c r="E98" i="5"/>
  <c r="Q97" i="5"/>
  <c r="P97" i="5"/>
  <c r="M97" i="5"/>
  <c r="G97" i="5"/>
  <c r="E97" i="5"/>
  <c r="M96" i="5"/>
  <c r="G96" i="5"/>
  <c r="E96" i="5"/>
  <c r="M95" i="5"/>
  <c r="E95" i="5"/>
  <c r="M94" i="5"/>
  <c r="E94" i="5"/>
  <c r="R93" i="5"/>
  <c r="Q93" i="5"/>
  <c r="M93" i="5"/>
  <c r="G93" i="5"/>
  <c r="E93" i="5"/>
  <c r="M92" i="5"/>
  <c r="G92" i="5"/>
  <c r="E92" i="5"/>
  <c r="M91" i="5"/>
  <c r="G91" i="5"/>
  <c r="E91" i="5"/>
  <c r="Q90" i="5"/>
  <c r="P90" i="5"/>
  <c r="M90" i="5"/>
  <c r="G90" i="5"/>
  <c r="E90" i="5"/>
  <c r="M89" i="5"/>
  <c r="G89" i="5"/>
  <c r="E89" i="5"/>
  <c r="M88" i="5"/>
  <c r="G88" i="5"/>
  <c r="E88" i="5"/>
  <c r="Q87" i="5"/>
  <c r="P87" i="5"/>
  <c r="M87" i="5"/>
  <c r="G87" i="5"/>
  <c r="E87" i="5"/>
  <c r="M86" i="5"/>
  <c r="G86" i="5"/>
  <c r="E86" i="5"/>
  <c r="M85" i="5"/>
  <c r="G85" i="5"/>
  <c r="E85" i="5"/>
  <c r="Q84" i="5"/>
  <c r="P84" i="5"/>
  <c r="M84" i="5"/>
  <c r="G84" i="5"/>
  <c r="E84" i="5"/>
  <c r="M83" i="5"/>
  <c r="G83" i="5"/>
  <c r="E83" i="5"/>
  <c r="M82" i="5"/>
  <c r="G82" i="5"/>
  <c r="E82" i="5"/>
  <c r="P81" i="5"/>
  <c r="M81" i="5"/>
  <c r="G81" i="5"/>
  <c r="E81" i="5"/>
  <c r="M80" i="5"/>
  <c r="G80" i="5"/>
  <c r="E80" i="5"/>
  <c r="M79" i="5"/>
  <c r="G79" i="5"/>
  <c r="E79" i="5"/>
  <c r="Q78" i="5"/>
  <c r="P78" i="5"/>
  <c r="M78" i="5"/>
  <c r="G78" i="5"/>
  <c r="E78" i="5"/>
  <c r="M77" i="5"/>
  <c r="G77" i="5"/>
  <c r="E77" i="5"/>
  <c r="M76" i="5"/>
  <c r="G76" i="5"/>
  <c r="E76" i="5"/>
  <c r="Q75" i="5"/>
  <c r="P75" i="5"/>
  <c r="M75" i="5"/>
  <c r="G75" i="5"/>
  <c r="E75" i="5"/>
  <c r="M74" i="5"/>
  <c r="G74" i="5"/>
  <c r="E74" i="5"/>
  <c r="M73" i="5"/>
  <c r="G73" i="5"/>
  <c r="E73" i="5"/>
  <c r="Q72" i="5"/>
  <c r="P72" i="5"/>
  <c r="M72" i="5"/>
  <c r="G72" i="5"/>
  <c r="E72" i="5"/>
  <c r="Q71" i="5"/>
  <c r="P71" i="5"/>
  <c r="M71" i="5"/>
  <c r="G71" i="5"/>
  <c r="E71" i="5"/>
  <c r="Q70" i="5"/>
  <c r="P70" i="5"/>
  <c r="M70" i="5"/>
  <c r="G70" i="5"/>
  <c r="E70" i="5"/>
  <c r="Q69" i="5"/>
  <c r="P69" i="5"/>
  <c r="M69" i="5"/>
  <c r="G69" i="5"/>
  <c r="E69" i="5"/>
  <c r="Q68" i="5"/>
  <c r="P68" i="5"/>
  <c r="M68" i="5"/>
  <c r="G68" i="5"/>
  <c r="E68" i="5"/>
  <c r="M67" i="5"/>
  <c r="G67" i="5"/>
  <c r="E67" i="5"/>
  <c r="M66" i="5"/>
  <c r="G66" i="5"/>
  <c r="E66" i="5"/>
  <c r="Q65" i="5"/>
  <c r="P65" i="5"/>
  <c r="M65" i="5"/>
  <c r="G65" i="5"/>
  <c r="E65" i="5"/>
  <c r="M64" i="5"/>
  <c r="G64" i="5"/>
  <c r="E64" i="5"/>
  <c r="M63" i="5"/>
  <c r="G63" i="5"/>
  <c r="E63" i="5"/>
  <c r="Q62" i="5"/>
  <c r="P62" i="5"/>
  <c r="M62" i="5"/>
  <c r="G62" i="5"/>
  <c r="E62" i="5"/>
  <c r="Q61" i="5"/>
  <c r="P61" i="5"/>
  <c r="M61" i="5"/>
  <c r="G61" i="5"/>
  <c r="E61" i="5"/>
  <c r="M60" i="5"/>
  <c r="G60" i="5"/>
  <c r="E60" i="5"/>
  <c r="M59" i="5"/>
  <c r="G59" i="5"/>
  <c r="E59" i="5"/>
  <c r="Q58" i="5"/>
  <c r="P58" i="5"/>
  <c r="M58" i="5"/>
  <c r="G58" i="5"/>
  <c r="E58" i="5"/>
  <c r="Q57" i="5"/>
  <c r="P57" i="5"/>
  <c r="M57" i="5"/>
  <c r="G57" i="5"/>
  <c r="E57" i="5"/>
  <c r="M56" i="5"/>
  <c r="G56" i="5"/>
  <c r="E56" i="5"/>
  <c r="M55" i="5"/>
  <c r="E55" i="5"/>
  <c r="M54" i="5"/>
  <c r="E54" i="5"/>
  <c r="E223" i="5" l="1"/>
  <c r="G223" i="5"/>
  <c r="M223" i="5"/>
  <c r="M304" i="5" l="1"/>
  <c r="G304" i="5"/>
  <c r="E304" i="5"/>
  <c r="Q303" i="5"/>
  <c r="P303" i="5"/>
  <c r="M303" i="5"/>
  <c r="G303" i="5"/>
  <c r="E303" i="5"/>
  <c r="Q302" i="5"/>
  <c r="P302" i="5"/>
  <c r="M302" i="5"/>
  <c r="G302" i="5"/>
  <c r="E302" i="5"/>
  <c r="M301" i="5"/>
  <c r="G301" i="5"/>
  <c r="E301" i="5"/>
  <c r="M300" i="5"/>
  <c r="G300" i="5"/>
  <c r="E300" i="5"/>
  <c r="M299" i="5"/>
  <c r="G299" i="5"/>
  <c r="E299" i="5"/>
  <c r="Q298" i="5"/>
  <c r="P298" i="5"/>
  <c r="M298" i="5"/>
  <c r="G298" i="5"/>
  <c r="E298" i="5"/>
  <c r="M297" i="5"/>
  <c r="G297" i="5"/>
  <c r="E297" i="5"/>
  <c r="M296" i="5"/>
  <c r="G296" i="5"/>
  <c r="E296" i="5"/>
  <c r="Q295" i="5"/>
  <c r="P295" i="5"/>
  <c r="M295" i="5"/>
  <c r="G295" i="5"/>
  <c r="E295" i="5"/>
  <c r="M294" i="5"/>
  <c r="G294" i="5"/>
  <c r="E294" i="5"/>
  <c r="M293" i="5"/>
  <c r="G293" i="5"/>
  <c r="E293" i="5"/>
  <c r="P292" i="5"/>
  <c r="M292" i="5"/>
  <c r="G292" i="5"/>
  <c r="E292" i="5"/>
  <c r="Q291" i="5"/>
  <c r="P291" i="5"/>
  <c r="M291" i="5"/>
  <c r="G291" i="5"/>
  <c r="E291" i="5"/>
  <c r="M290" i="5"/>
  <c r="G290" i="5"/>
  <c r="E290" i="5"/>
  <c r="M289" i="5"/>
  <c r="G289" i="5"/>
  <c r="E289" i="5"/>
  <c r="Q288" i="5"/>
  <c r="P288" i="5"/>
  <c r="M288" i="5"/>
  <c r="G288" i="5"/>
  <c r="E288" i="5"/>
  <c r="Q287" i="5"/>
  <c r="P287" i="5"/>
  <c r="M287" i="5"/>
  <c r="G287" i="5"/>
  <c r="E287" i="5"/>
  <c r="M286" i="5"/>
  <c r="G286" i="5"/>
  <c r="E286" i="5"/>
  <c r="M285" i="5"/>
  <c r="G285" i="5"/>
  <c r="E285" i="5"/>
  <c r="Q284" i="5"/>
  <c r="P284" i="5"/>
  <c r="M284" i="5"/>
  <c r="G284" i="5"/>
  <c r="E284" i="5"/>
  <c r="M283" i="5"/>
  <c r="G283" i="5"/>
  <c r="E283" i="5"/>
  <c r="M282" i="5"/>
  <c r="G282" i="5"/>
  <c r="E282" i="5"/>
  <c r="P281" i="5"/>
  <c r="M281" i="5"/>
  <c r="G281" i="5"/>
  <c r="E281" i="5"/>
  <c r="Q280" i="5"/>
  <c r="P280" i="5"/>
  <c r="M280" i="5"/>
  <c r="G280" i="5"/>
  <c r="E280" i="5"/>
  <c r="M279" i="5"/>
  <c r="G279" i="5"/>
  <c r="E279" i="5"/>
  <c r="M278" i="5"/>
  <c r="G278" i="5"/>
  <c r="E278" i="5"/>
  <c r="Q277" i="5"/>
  <c r="P277" i="5"/>
  <c r="M277" i="5"/>
  <c r="G277" i="5"/>
  <c r="E277" i="5"/>
  <c r="Q276" i="5"/>
  <c r="P276" i="5"/>
  <c r="M276" i="5"/>
  <c r="G276" i="5"/>
  <c r="E276" i="5"/>
  <c r="M275" i="5"/>
  <c r="G275" i="5"/>
  <c r="E275" i="5"/>
  <c r="M274" i="5"/>
  <c r="G274" i="5"/>
  <c r="E274" i="5"/>
  <c r="Q273" i="5"/>
  <c r="P273" i="5"/>
  <c r="M273" i="5"/>
  <c r="G273" i="5"/>
  <c r="E273" i="5"/>
  <c r="Q272" i="5"/>
  <c r="P272" i="5"/>
  <c r="M272" i="5"/>
  <c r="G272" i="5"/>
  <c r="E272" i="5"/>
  <c r="Q271" i="5"/>
  <c r="P271" i="5"/>
  <c r="M271" i="5"/>
  <c r="G271" i="5"/>
  <c r="E271" i="5"/>
  <c r="M270" i="5"/>
  <c r="G270" i="5"/>
  <c r="E270" i="5"/>
  <c r="M269" i="5"/>
  <c r="G269" i="5"/>
  <c r="E269" i="5"/>
  <c r="Q268" i="5"/>
  <c r="P268" i="5"/>
  <c r="M268" i="5"/>
  <c r="G268" i="5"/>
  <c r="E268" i="5"/>
  <c r="Q267" i="5"/>
  <c r="P267" i="5"/>
  <c r="M267" i="5"/>
  <c r="G267" i="5"/>
  <c r="E267" i="5"/>
  <c r="M266" i="5"/>
  <c r="G266" i="5"/>
  <c r="E266" i="5"/>
  <c r="M265" i="5"/>
  <c r="G265" i="5"/>
  <c r="E265" i="5"/>
  <c r="Q264" i="5"/>
  <c r="P264" i="5"/>
  <c r="M264" i="5"/>
  <c r="G264" i="5"/>
  <c r="E264" i="5"/>
  <c r="Q263" i="5"/>
  <c r="P263" i="5"/>
  <c r="M263" i="5"/>
  <c r="G263" i="5"/>
  <c r="E263" i="5"/>
  <c r="M262" i="5"/>
  <c r="G262" i="5"/>
  <c r="E262" i="5"/>
  <c r="M261" i="5"/>
  <c r="G261" i="5"/>
  <c r="E261" i="5"/>
  <c r="Q260" i="5"/>
  <c r="P260" i="5"/>
  <c r="M260" i="5"/>
  <c r="G260" i="5"/>
  <c r="E260" i="5"/>
  <c r="M259" i="5"/>
  <c r="G259" i="5"/>
  <c r="E259" i="5"/>
  <c r="M258" i="5"/>
  <c r="G258" i="5"/>
  <c r="E258" i="5"/>
  <c r="Q257" i="5"/>
  <c r="P257" i="5"/>
  <c r="M257" i="5"/>
  <c r="G257" i="5"/>
  <c r="E257" i="5"/>
  <c r="Q256" i="5"/>
  <c r="P256" i="5"/>
  <c r="M256" i="5"/>
  <c r="G256" i="5"/>
  <c r="E256" i="5"/>
  <c r="M255" i="5"/>
  <c r="G255" i="5"/>
  <c r="E255" i="5"/>
  <c r="M254" i="5"/>
  <c r="G254" i="5"/>
  <c r="E254" i="5"/>
  <c r="Q253" i="5"/>
  <c r="P253" i="5"/>
  <c r="M253" i="5"/>
  <c r="G253" i="5"/>
  <c r="E253" i="5"/>
  <c r="M252" i="5"/>
  <c r="G252" i="5"/>
  <c r="E252" i="5"/>
  <c r="M251" i="5"/>
  <c r="G251" i="5"/>
  <c r="E251" i="5"/>
  <c r="Q250" i="5"/>
  <c r="P250" i="5"/>
  <c r="M250" i="5"/>
  <c r="G250" i="5"/>
  <c r="E250" i="5"/>
  <c r="M249" i="5"/>
  <c r="G249" i="5"/>
  <c r="E249" i="5"/>
  <c r="M248" i="5"/>
  <c r="G248" i="5"/>
  <c r="E248" i="5"/>
  <c r="Q247" i="5"/>
  <c r="P247" i="5"/>
  <c r="M247" i="5"/>
  <c r="G247" i="5"/>
  <c r="E247" i="5"/>
  <c r="M246" i="5"/>
  <c r="G246" i="5"/>
  <c r="E246" i="5"/>
  <c r="M245" i="5"/>
  <c r="G245" i="5"/>
  <c r="E245" i="5"/>
  <c r="Q244" i="5"/>
  <c r="P244" i="5"/>
  <c r="M244" i="5"/>
  <c r="G244" i="5"/>
  <c r="E244" i="5"/>
  <c r="M243" i="5"/>
  <c r="G243" i="5"/>
  <c r="E243" i="5"/>
  <c r="M242" i="5"/>
  <c r="G242" i="5"/>
  <c r="E242" i="5"/>
  <c r="Q241" i="5"/>
  <c r="P241" i="5"/>
  <c r="M241" i="5"/>
  <c r="G241" i="5"/>
  <c r="E241" i="5"/>
  <c r="Q240" i="5"/>
  <c r="P240" i="5"/>
  <c r="M240" i="5"/>
  <c r="G240" i="5"/>
  <c r="E240" i="5"/>
  <c r="M239" i="5"/>
  <c r="G239" i="5"/>
  <c r="E239" i="5"/>
  <c r="M238" i="5"/>
  <c r="G238" i="5"/>
  <c r="E238" i="5"/>
  <c r="Q237" i="5"/>
  <c r="P237" i="5"/>
  <c r="M237" i="5"/>
  <c r="G237" i="5"/>
  <c r="E237" i="5"/>
  <c r="M236" i="5"/>
  <c r="G236" i="5"/>
  <c r="E236" i="5"/>
  <c r="M235" i="5"/>
  <c r="G235" i="5"/>
  <c r="E235" i="5"/>
  <c r="Q234" i="5"/>
  <c r="P234" i="5"/>
  <c r="M234" i="5"/>
  <c r="G234" i="5"/>
  <c r="E234" i="5"/>
  <c r="M233" i="5"/>
  <c r="G233" i="5"/>
  <c r="E233" i="5"/>
  <c r="M232" i="5"/>
  <c r="G232" i="5"/>
  <c r="E232" i="5"/>
  <c r="Q231" i="5"/>
  <c r="P231" i="5"/>
  <c r="M231" i="5"/>
  <c r="G231" i="5"/>
  <c r="E231" i="5"/>
  <c r="M230" i="5"/>
  <c r="G230" i="5"/>
  <c r="E230" i="5"/>
  <c r="M229" i="5"/>
  <c r="G229" i="5"/>
  <c r="E229" i="5"/>
  <c r="Q228" i="5"/>
  <c r="P228" i="5"/>
  <c r="M228" i="5"/>
  <c r="G228" i="5"/>
  <c r="E228" i="5"/>
  <c r="M227" i="5"/>
  <c r="G227" i="5"/>
  <c r="E227" i="5"/>
  <c r="M226" i="5"/>
  <c r="G226" i="5"/>
  <c r="E226" i="5"/>
  <c r="P225" i="5"/>
  <c r="M225" i="5"/>
  <c r="G225" i="5"/>
  <c r="E225" i="5"/>
  <c r="Q224" i="5"/>
  <c r="P224" i="5"/>
  <c r="M224" i="5"/>
  <c r="G224" i="5"/>
  <c r="E224" i="5"/>
  <c r="Q305" i="5"/>
  <c r="R264" i="5"/>
  <c r="R230" i="5"/>
  <c r="H213" i="3"/>
  <c r="Q20" i="3"/>
  <c r="P20" i="3"/>
  <c r="M20" i="3"/>
  <c r="G20" i="3"/>
  <c r="E20" i="3"/>
  <c r="Q19" i="3"/>
  <c r="P19" i="3"/>
  <c r="M19" i="3"/>
  <c r="G19" i="3"/>
  <c r="E19" i="3"/>
  <c r="M18" i="3"/>
  <c r="G18" i="3"/>
  <c r="E18" i="3"/>
  <c r="M17" i="3"/>
  <c r="G17" i="3"/>
  <c r="E17" i="3"/>
  <c r="M16" i="3"/>
  <c r="G16" i="3"/>
  <c r="R15" i="3"/>
  <c r="Q15" i="3"/>
  <c r="P15" i="3"/>
  <c r="M15" i="3"/>
  <c r="G15" i="3"/>
  <c r="E15" i="3"/>
  <c r="Q14" i="3"/>
  <c r="P14" i="3"/>
  <c r="M14" i="3"/>
  <c r="G14" i="3"/>
  <c r="E14" i="3"/>
  <c r="M13" i="3"/>
  <c r="G13" i="3"/>
  <c r="E13" i="3"/>
  <c r="M12" i="3"/>
  <c r="E12" i="3"/>
  <c r="M11" i="3"/>
  <c r="E11" i="3"/>
  <c r="Q10" i="3"/>
  <c r="M10" i="3"/>
  <c r="G10" i="3"/>
  <c r="E10" i="3"/>
  <c r="M9" i="3"/>
  <c r="G9" i="3"/>
  <c r="E9" i="3"/>
  <c r="M8" i="3"/>
  <c r="G8" i="3"/>
  <c r="E8" i="3"/>
  <c r="M159" i="3" l="1"/>
  <c r="M158" i="3"/>
  <c r="Q157" i="3"/>
  <c r="P157" i="3"/>
  <c r="M157" i="3"/>
  <c r="M156" i="3"/>
  <c r="M155" i="3"/>
  <c r="M154" i="3"/>
  <c r="M153" i="3"/>
  <c r="M152" i="3"/>
  <c r="M151" i="3"/>
  <c r="R150" i="3"/>
  <c r="Q150" i="3"/>
  <c r="P150" i="3"/>
  <c r="M150" i="3"/>
  <c r="R149" i="3"/>
  <c r="Q149" i="3"/>
  <c r="P149" i="3"/>
  <c r="M149" i="3"/>
  <c r="M148" i="3"/>
  <c r="Q147" i="3"/>
  <c r="P147" i="3"/>
  <c r="M147" i="3"/>
  <c r="M146" i="3"/>
  <c r="M145" i="3"/>
  <c r="Q144" i="3"/>
  <c r="P144" i="3"/>
  <c r="M144" i="3"/>
  <c r="M143" i="3"/>
  <c r="M142" i="3"/>
  <c r="Q141" i="3"/>
  <c r="P141" i="3"/>
  <c r="M141" i="3"/>
  <c r="M140" i="3"/>
  <c r="M139" i="3"/>
  <c r="P138" i="3"/>
  <c r="M138" i="3"/>
  <c r="M137" i="3"/>
  <c r="M136" i="3"/>
  <c r="Q135" i="3"/>
  <c r="P135" i="3"/>
  <c r="M135" i="3"/>
  <c r="Q134" i="3"/>
  <c r="P134" i="3"/>
  <c r="M134" i="3"/>
  <c r="M133" i="3"/>
  <c r="M132" i="3"/>
  <c r="Q131" i="3"/>
  <c r="P131" i="3"/>
  <c r="M131" i="3"/>
  <c r="M130" i="3"/>
  <c r="M129" i="3"/>
  <c r="Q128" i="3"/>
  <c r="P128" i="3"/>
  <c r="M128" i="3"/>
  <c r="M127" i="3"/>
  <c r="M126" i="3"/>
  <c r="Q125" i="3"/>
  <c r="P125" i="3"/>
  <c r="M125" i="3"/>
  <c r="M124" i="3"/>
  <c r="M123" i="3"/>
  <c r="Q122" i="3"/>
  <c r="P122" i="3"/>
  <c r="M122" i="3"/>
  <c r="Q121" i="3"/>
  <c r="P121" i="3"/>
  <c r="M121" i="3"/>
  <c r="Q120" i="3"/>
  <c r="P120" i="3"/>
  <c r="M120" i="3"/>
  <c r="M119" i="3"/>
  <c r="M118" i="3"/>
  <c r="Q117" i="3"/>
  <c r="P117" i="3"/>
  <c r="M117" i="3"/>
  <c r="M116" i="3"/>
  <c r="M115" i="3"/>
  <c r="Q114" i="3"/>
  <c r="P114" i="3"/>
  <c r="M114" i="3"/>
  <c r="M113" i="3"/>
  <c r="M112" i="3"/>
  <c r="P111" i="3"/>
  <c r="M111" i="3"/>
  <c r="Q110" i="3"/>
  <c r="P110" i="3"/>
  <c r="M110" i="3"/>
  <c r="M109" i="3"/>
  <c r="M108" i="3"/>
  <c r="Q107" i="3"/>
  <c r="P107" i="3"/>
  <c r="M107" i="3"/>
  <c r="Q106" i="3"/>
  <c r="P106" i="3"/>
  <c r="M106" i="3"/>
  <c r="M105" i="3"/>
  <c r="M104" i="3"/>
  <c r="Q103" i="3"/>
  <c r="P103" i="3"/>
  <c r="M103" i="3"/>
  <c r="M102" i="3"/>
  <c r="M101" i="3"/>
  <c r="Q100" i="3"/>
  <c r="P100" i="3"/>
  <c r="M100" i="3"/>
  <c r="M99" i="3"/>
  <c r="M98" i="3"/>
  <c r="Q97" i="3"/>
  <c r="P97" i="3"/>
  <c r="M97" i="3"/>
  <c r="M96" i="3"/>
  <c r="M95" i="3"/>
  <c r="Q94" i="3"/>
  <c r="P94" i="3"/>
  <c r="M94" i="3"/>
  <c r="M93" i="3"/>
  <c r="M92" i="3"/>
  <c r="Q91" i="3"/>
  <c r="P91" i="3"/>
  <c r="M91" i="3"/>
  <c r="Q90" i="3"/>
  <c r="P90" i="3"/>
  <c r="M90" i="3"/>
  <c r="M89" i="3"/>
  <c r="M88" i="3"/>
  <c r="Q87" i="3"/>
  <c r="P87" i="3"/>
  <c r="M87" i="3"/>
  <c r="M86" i="3"/>
  <c r="M85" i="3"/>
  <c r="Q84" i="3"/>
  <c r="P84" i="3"/>
  <c r="M84" i="3"/>
  <c r="Q83" i="3"/>
  <c r="P83" i="3"/>
  <c r="M83" i="3"/>
  <c r="M82" i="3"/>
  <c r="M81" i="3"/>
  <c r="Q80" i="3"/>
  <c r="P80" i="3"/>
  <c r="M80" i="3"/>
  <c r="M79" i="3"/>
  <c r="M78" i="3"/>
  <c r="Q77" i="3"/>
  <c r="P77" i="3"/>
  <c r="M77" i="3"/>
  <c r="M76" i="3"/>
  <c r="M75" i="3"/>
  <c r="Q74" i="3"/>
  <c r="P74" i="3"/>
  <c r="M74" i="3"/>
  <c r="Q73" i="3"/>
  <c r="P73" i="3"/>
  <c r="M73" i="3"/>
  <c r="Q72" i="3"/>
  <c r="P72" i="3"/>
  <c r="M72" i="3"/>
  <c r="M71" i="3"/>
  <c r="M70" i="3"/>
  <c r="Q69" i="3"/>
  <c r="P69" i="3"/>
  <c r="M69" i="3"/>
  <c r="M68" i="3"/>
  <c r="M67" i="3"/>
  <c r="Q66" i="3"/>
  <c r="P66" i="3"/>
  <c r="M66" i="3"/>
  <c r="M65" i="3"/>
  <c r="M64" i="3"/>
  <c r="M63" i="3"/>
  <c r="Q62" i="3"/>
  <c r="P62" i="3"/>
  <c r="M62" i="3"/>
  <c r="M61" i="3"/>
  <c r="M60" i="3"/>
  <c r="Q59" i="3"/>
  <c r="P59" i="3"/>
  <c r="M59" i="3"/>
  <c r="M58" i="3"/>
  <c r="M57" i="3"/>
  <c r="Q56" i="3"/>
  <c r="P56" i="3"/>
  <c r="M56" i="3"/>
  <c r="Q55" i="3"/>
  <c r="P55" i="3"/>
  <c r="M55" i="3"/>
  <c r="M54" i="3"/>
  <c r="M53" i="3"/>
  <c r="M52" i="3"/>
  <c r="M51" i="3"/>
  <c r="M50" i="3"/>
  <c r="R49" i="3"/>
  <c r="Q49" i="3"/>
  <c r="P49" i="3"/>
  <c r="M49" i="3"/>
  <c r="M48" i="3"/>
  <c r="M47" i="3"/>
  <c r="M46" i="3"/>
  <c r="M45" i="3"/>
  <c r="M44" i="3"/>
  <c r="M43" i="3"/>
  <c r="H203" i="2" l="1"/>
  <c r="M201" i="2" l="1"/>
  <c r="M200" i="2"/>
  <c r="Q199" i="2"/>
  <c r="P199" i="2"/>
  <c r="M199" i="2"/>
  <c r="Q198" i="2"/>
  <c r="P198" i="2"/>
  <c r="M198" i="2"/>
  <c r="Q197" i="2"/>
  <c r="P197" i="2"/>
  <c r="M197" i="2"/>
  <c r="M196" i="2"/>
  <c r="M211" i="3" l="1"/>
  <c r="M210" i="3"/>
  <c r="Q209" i="3"/>
  <c r="P209" i="3"/>
  <c r="M209" i="3"/>
  <c r="M208" i="3"/>
  <c r="M207" i="3"/>
  <c r="Q206" i="3"/>
  <c r="P206" i="3"/>
  <c r="M206" i="3"/>
  <c r="Q205" i="3"/>
  <c r="P205" i="3"/>
  <c r="M205" i="3"/>
  <c r="Q204" i="3"/>
  <c r="P204" i="3"/>
  <c r="M204" i="3"/>
  <c r="M203" i="3"/>
  <c r="M202" i="3"/>
  <c r="Q201" i="3"/>
  <c r="P201" i="3"/>
  <c r="M201" i="3"/>
  <c r="Q200" i="3"/>
  <c r="P200" i="3"/>
  <c r="M200" i="3"/>
  <c r="M199" i="3"/>
  <c r="M198" i="3"/>
  <c r="Q197" i="3"/>
  <c r="P197" i="3"/>
  <c r="M197" i="3"/>
  <c r="M196" i="3"/>
  <c r="M195" i="3"/>
  <c r="Q194" i="3"/>
  <c r="P194" i="3"/>
  <c r="M194" i="3"/>
  <c r="M193" i="3"/>
  <c r="M192" i="3"/>
  <c r="Q191" i="3"/>
  <c r="P191" i="3"/>
  <c r="M191" i="3"/>
  <c r="Q190" i="3"/>
  <c r="P190" i="3"/>
  <c r="M190" i="3"/>
  <c r="M189" i="3"/>
  <c r="M188" i="3"/>
  <c r="Q187" i="3"/>
  <c r="P187" i="3"/>
  <c r="M187" i="3"/>
  <c r="M186" i="3"/>
  <c r="M185" i="3"/>
  <c r="M184" i="3"/>
  <c r="M183" i="3"/>
  <c r="M182" i="3"/>
  <c r="Q181" i="3"/>
  <c r="P181" i="3"/>
  <c r="M181" i="3"/>
  <c r="R180" i="3"/>
  <c r="P180" i="3"/>
  <c r="M180" i="3"/>
  <c r="M179" i="3"/>
  <c r="M178" i="3"/>
  <c r="M177" i="3"/>
  <c r="M13" i="2"/>
  <c r="R12" i="2"/>
  <c r="Q12" i="2"/>
  <c r="P12" i="2"/>
  <c r="M12" i="2"/>
  <c r="R11" i="2"/>
  <c r="Q11" i="2"/>
  <c r="P11" i="2"/>
  <c r="M11" i="2"/>
  <c r="Q10" i="2"/>
  <c r="M10" i="2"/>
  <c r="M9" i="2"/>
  <c r="M8" i="2"/>
  <c r="M195" i="2" l="1"/>
  <c r="M194" i="2"/>
  <c r="M193" i="2"/>
  <c r="M192" i="2"/>
  <c r="M191" i="2"/>
  <c r="M190" i="2"/>
  <c r="M189" i="2"/>
  <c r="M188" i="2"/>
  <c r="M187" i="2"/>
  <c r="M186" i="2"/>
  <c r="M185" i="2"/>
  <c r="M184" i="2"/>
  <c r="Q183" i="2"/>
  <c r="P183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Q161" i="2"/>
  <c r="P161" i="2"/>
  <c r="M161" i="2"/>
  <c r="M160" i="2"/>
  <c r="M159" i="2"/>
  <c r="Q158" i="2"/>
  <c r="P158" i="2"/>
  <c r="M158" i="2"/>
  <c r="Q157" i="2"/>
  <c r="P157" i="2"/>
  <c r="M157" i="2"/>
  <c r="M156" i="2"/>
  <c r="M155" i="2"/>
  <c r="M154" i="2"/>
  <c r="M153" i="2"/>
  <c r="Q152" i="2"/>
  <c r="P152" i="2"/>
  <c r="M152" i="2"/>
  <c r="Q151" i="2"/>
  <c r="P151" i="2"/>
  <c r="M151" i="2"/>
  <c r="Q150" i="2"/>
  <c r="P150" i="2"/>
  <c r="M150" i="2"/>
  <c r="Q149" i="2"/>
  <c r="P149" i="2"/>
  <c r="M149" i="2"/>
  <c r="Q148" i="2"/>
  <c r="P148" i="2"/>
  <c r="M148" i="2"/>
  <c r="Q147" i="2"/>
  <c r="P147" i="2"/>
  <c r="M147" i="2"/>
  <c r="Q146" i="2"/>
  <c r="P146" i="2"/>
  <c r="M146" i="2"/>
  <c r="Q145" i="2"/>
  <c r="P145" i="2"/>
  <c r="M145" i="2"/>
  <c r="M144" i="2"/>
  <c r="M143" i="2"/>
  <c r="Q142" i="2"/>
  <c r="P142" i="2"/>
  <c r="M142" i="2"/>
  <c r="M141" i="2"/>
  <c r="M140" i="2"/>
  <c r="Q139" i="2"/>
  <c r="P139" i="2"/>
  <c r="M139" i="2"/>
  <c r="M138" i="2"/>
  <c r="M137" i="2"/>
  <c r="Q136" i="2"/>
  <c r="P136" i="2"/>
  <c r="M136" i="2"/>
  <c r="M135" i="2"/>
  <c r="M134" i="2"/>
  <c r="Q133" i="2"/>
  <c r="P133" i="2"/>
  <c r="M133" i="2"/>
  <c r="M132" i="2"/>
  <c r="M131" i="2"/>
  <c r="Q130" i="2"/>
  <c r="P130" i="2"/>
  <c r="M130" i="2"/>
  <c r="M129" i="2"/>
  <c r="M128" i="2"/>
  <c r="Q127" i="2"/>
  <c r="P127" i="2"/>
  <c r="M127" i="2"/>
  <c r="M126" i="2"/>
  <c r="M125" i="2"/>
  <c r="Q124" i="2"/>
  <c r="P124" i="2"/>
  <c r="M124" i="2"/>
  <c r="M123" i="2"/>
  <c r="M122" i="2"/>
  <c r="Q121" i="2"/>
  <c r="P121" i="2"/>
  <c r="M121" i="2"/>
  <c r="M120" i="2"/>
  <c r="M119" i="2"/>
  <c r="Q118" i="2"/>
  <c r="P118" i="2"/>
  <c r="M118" i="2"/>
  <c r="M117" i="2"/>
  <c r="M116" i="2"/>
  <c r="Q115" i="2"/>
  <c r="P115" i="2"/>
  <c r="M115" i="2"/>
  <c r="M114" i="2"/>
  <c r="M113" i="2"/>
  <c r="Q112" i="2"/>
  <c r="P112" i="2"/>
  <c r="M112" i="2"/>
  <c r="M111" i="2"/>
  <c r="M110" i="2"/>
  <c r="P109" i="2"/>
  <c r="M109" i="2"/>
  <c r="M108" i="2"/>
  <c r="M107" i="2"/>
  <c r="Q106" i="2"/>
  <c r="P106" i="2"/>
  <c r="M106" i="2"/>
  <c r="M105" i="2"/>
  <c r="M104" i="2"/>
  <c r="Q103" i="2"/>
  <c r="P103" i="2"/>
  <c r="M103" i="2"/>
  <c r="M102" i="2"/>
  <c r="M101" i="2"/>
  <c r="Q100" i="2"/>
  <c r="P100" i="2"/>
  <c r="M100" i="2"/>
  <c r="M99" i="2"/>
  <c r="M98" i="2"/>
  <c r="Q97" i="2"/>
  <c r="P97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H270" i="1" l="1"/>
  <c r="M73" i="1"/>
  <c r="M72" i="1"/>
  <c r="Q71" i="1"/>
  <c r="P71" i="1"/>
  <c r="M71" i="1"/>
  <c r="M70" i="1"/>
  <c r="M69" i="1"/>
  <c r="Q68" i="1"/>
  <c r="P68" i="1"/>
  <c r="M68" i="1"/>
  <c r="M67" i="1"/>
  <c r="M66" i="1"/>
  <c r="Q65" i="1"/>
  <c r="P65" i="1"/>
  <c r="M65" i="1"/>
  <c r="Q64" i="1"/>
  <c r="P64" i="1"/>
  <c r="M64" i="1"/>
  <c r="M63" i="1"/>
  <c r="M62" i="1"/>
  <c r="Q61" i="1"/>
  <c r="P61" i="1"/>
  <c r="M61" i="1"/>
  <c r="Q60" i="1"/>
  <c r="P60" i="1"/>
  <c r="M60" i="1"/>
  <c r="M59" i="1"/>
  <c r="M58" i="1"/>
  <c r="Q57" i="1"/>
  <c r="P57" i="1"/>
  <c r="M57" i="1"/>
  <c r="M56" i="1"/>
  <c r="M55" i="1"/>
  <c r="Q54" i="1"/>
  <c r="P54" i="1"/>
  <c r="M54" i="1"/>
  <c r="Q53" i="1"/>
  <c r="P53" i="1"/>
  <c r="M53" i="1"/>
  <c r="Q52" i="1"/>
  <c r="M52" i="1"/>
  <c r="M51" i="1"/>
  <c r="M50" i="1"/>
  <c r="M49" i="1"/>
  <c r="M48" i="1"/>
  <c r="Q47" i="1"/>
  <c r="P47" i="1"/>
  <c r="M47" i="1"/>
  <c r="Q46" i="1"/>
  <c r="P46" i="1"/>
  <c r="M46" i="1"/>
  <c r="Q45" i="1"/>
  <c r="P45" i="1"/>
  <c r="M45" i="1"/>
  <c r="M44" i="1"/>
  <c r="M43" i="1"/>
  <c r="Q42" i="1"/>
  <c r="P42" i="1"/>
  <c r="M42" i="1"/>
  <c r="Q41" i="1"/>
  <c r="P41" i="1"/>
  <c r="M41" i="1"/>
  <c r="M40" i="1"/>
  <c r="M39" i="1"/>
  <c r="Q38" i="1"/>
  <c r="P38" i="1"/>
  <c r="M38" i="1"/>
  <c r="M37" i="1"/>
  <c r="M36" i="1"/>
  <c r="Q35" i="1"/>
  <c r="P35" i="1"/>
  <c r="M35" i="1"/>
  <c r="Q34" i="1"/>
  <c r="P34" i="1"/>
  <c r="M34" i="1"/>
  <c r="M33" i="1"/>
  <c r="M32" i="1"/>
  <c r="Q31" i="1"/>
  <c r="P31" i="1"/>
  <c r="M31" i="1"/>
  <c r="M30" i="1"/>
  <c r="M29" i="1"/>
  <c r="Q28" i="1"/>
  <c r="P28" i="1"/>
  <c r="M28" i="1"/>
  <c r="M27" i="1"/>
  <c r="M26" i="1"/>
  <c r="Q25" i="1"/>
  <c r="P25" i="1"/>
  <c r="M25" i="1"/>
  <c r="Q24" i="1"/>
  <c r="P24" i="1"/>
  <c r="M24" i="1"/>
  <c r="M23" i="1"/>
  <c r="M22" i="1"/>
  <c r="Q21" i="1"/>
  <c r="P21" i="1"/>
  <c r="M21" i="1"/>
  <c r="M20" i="1"/>
  <c r="M19" i="1"/>
  <c r="Q18" i="1"/>
  <c r="P18" i="1"/>
  <c r="M18" i="1"/>
  <c r="M17" i="1"/>
  <c r="M16" i="1"/>
  <c r="Q15" i="1"/>
  <c r="P15" i="1"/>
  <c r="M15" i="1"/>
  <c r="M14" i="1"/>
  <c r="M13" i="1"/>
  <c r="Q12" i="1"/>
  <c r="P12" i="1"/>
  <c r="M12" i="1"/>
  <c r="M11" i="1"/>
  <c r="M10" i="1"/>
  <c r="Q9" i="1"/>
  <c r="P9" i="1"/>
  <c r="M9" i="1"/>
  <c r="Q8" i="1"/>
  <c r="P8" i="1"/>
  <c r="M8" i="1"/>
  <c r="Q153" i="1" l="1"/>
  <c r="P153" i="1"/>
  <c r="M153" i="1"/>
  <c r="M152" i="1"/>
  <c r="M151" i="1"/>
  <c r="Q150" i="1"/>
  <c r="P150" i="1"/>
  <c r="M150" i="1"/>
  <c r="M149" i="1"/>
  <c r="M148" i="1"/>
  <c r="Q147" i="1"/>
  <c r="P147" i="1"/>
  <c r="M147" i="1"/>
  <c r="M146" i="1"/>
  <c r="M145" i="1"/>
  <c r="Q144" i="1"/>
  <c r="P144" i="1"/>
  <c r="M144" i="1"/>
  <c r="M143" i="1"/>
  <c r="M142" i="1"/>
  <c r="Q141" i="1"/>
  <c r="P141" i="1"/>
  <c r="M141" i="1"/>
  <c r="Q140" i="1"/>
  <c r="P140" i="1"/>
  <c r="M140" i="1"/>
  <c r="M139" i="1"/>
  <c r="M138" i="1"/>
  <c r="Q137" i="1"/>
  <c r="P137" i="1"/>
  <c r="M137" i="1"/>
  <c r="M136" i="1"/>
  <c r="M135" i="1"/>
  <c r="Q134" i="1"/>
  <c r="P134" i="1"/>
  <c r="M134" i="1"/>
  <c r="M133" i="1"/>
  <c r="M132" i="1"/>
  <c r="Q131" i="1"/>
  <c r="P131" i="1"/>
  <c r="M131" i="1"/>
  <c r="M130" i="1"/>
  <c r="M129" i="1"/>
  <c r="Q128" i="1"/>
  <c r="P128" i="1"/>
  <c r="M128" i="1"/>
  <c r="M127" i="1"/>
  <c r="M126" i="1"/>
  <c r="Q125" i="1"/>
  <c r="P125" i="1"/>
  <c r="M125" i="1"/>
  <c r="M124" i="1"/>
  <c r="M123" i="1"/>
  <c r="Q122" i="1"/>
  <c r="P122" i="1"/>
  <c r="M122" i="1"/>
  <c r="M121" i="1"/>
  <c r="M120" i="1"/>
  <c r="Q119" i="1"/>
  <c r="P119" i="1"/>
  <c r="M119" i="1"/>
  <c r="M118" i="1"/>
  <c r="M117" i="1"/>
  <c r="Q116" i="1"/>
  <c r="P116" i="1"/>
  <c r="M116" i="1"/>
  <c r="Q115" i="1"/>
  <c r="P115" i="1"/>
  <c r="M115" i="1"/>
  <c r="Q114" i="1"/>
  <c r="P114" i="1"/>
  <c r="M114" i="1"/>
  <c r="M113" i="1"/>
  <c r="M112" i="1"/>
  <c r="Q111" i="1"/>
  <c r="P111" i="1"/>
  <c r="M111" i="1"/>
  <c r="M110" i="1"/>
  <c r="M109" i="1"/>
  <c r="Q108" i="1"/>
  <c r="P108" i="1"/>
  <c r="M108" i="1"/>
  <c r="M107" i="1"/>
  <c r="M106" i="1"/>
  <c r="Q105" i="1"/>
  <c r="P105" i="1"/>
  <c r="M105" i="1"/>
  <c r="M104" i="1"/>
  <c r="M103" i="1"/>
  <c r="Q102" i="1"/>
  <c r="P102" i="1"/>
  <c r="M102" i="1"/>
  <c r="Q101" i="1"/>
  <c r="P101" i="1"/>
  <c r="M101" i="1"/>
  <c r="Q100" i="1"/>
  <c r="P100" i="1"/>
  <c r="M100" i="1"/>
  <c r="M99" i="1"/>
  <c r="M98" i="1"/>
  <c r="Q97" i="1"/>
  <c r="P97" i="1"/>
  <c r="M97" i="1"/>
  <c r="M96" i="1"/>
  <c r="M95" i="1"/>
  <c r="M94" i="1"/>
  <c r="M93" i="1"/>
  <c r="Q92" i="1"/>
  <c r="P92" i="1"/>
  <c r="M92" i="1"/>
  <c r="Q91" i="1"/>
  <c r="P91" i="1"/>
  <c r="M91" i="1"/>
  <c r="M90" i="1"/>
  <c r="M89" i="1"/>
  <c r="Q88" i="1"/>
  <c r="P88" i="1"/>
  <c r="M88" i="1"/>
  <c r="M87" i="1"/>
  <c r="M86" i="1"/>
  <c r="Q85" i="1"/>
  <c r="P85" i="1"/>
  <c r="M85" i="1"/>
  <c r="Q84" i="1"/>
  <c r="P84" i="1"/>
  <c r="M84" i="1"/>
  <c r="R83" i="1"/>
  <c r="Q83" i="1"/>
  <c r="P83" i="1"/>
  <c r="M83" i="1"/>
  <c r="M82" i="1"/>
  <c r="M81" i="1"/>
  <c r="M80" i="1"/>
  <c r="M79" i="1"/>
  <c r="M78" i="1"/>
  <c r="M77" i="1"/>
  <c r="M76" i="1"/>
  <c r="M75" i="1"/>
  <c r="M74" i="1"/>
  <c r="S157" i="1" l="1"/>
  <c r="S161" i="1"/>
  <c r="S165" i="1"/>
  <c r="S194" i="1"/>
  <c r="S209" i="1"/>
  <c r="S215" i="1"/>
  <c r="S229" i="1"/>
  <c r="S237" i="1"/>
  <c r="S243" i="1"/>
  <c r="S251" i="1"/>
  <c r="S267" i="1"/>
  <c r="M267" i="1"/>
  <c r="M266" i="1"/>
  <c r="S266" i="1" s="1"/>
  <c r="Q265" i="1"/>
  <c r="P265" i="1"/>
  <c r="S265" i="1" s="1"/>
  <c r="M265" i="1"/>
  <c r="Q264" i="1"/>
  <c r="P264" i="1"/>
  <c r="M264" i="1"/>
  <c r="Q263" i="1"/>
  <c r="P263" i="1"/>
  <c r="S263" i="1" s="1"/>
  <c r="M263" i="1"/>
  <c r="M262" i="1"/>
  <c r="S262" i="1" s="1"/>
  <c r="M261" i="1"/>
  <c r="S261" i="1" s="1"/>
  <c r="Q260" i="1"/>
  <c r="P260" i="1"/>
  <c r="M260" i="1"/>
  <c r="Q259" i="1"/>
  <c r="P259" i="1"/>
  <c r="S259" i="1" s="1"/>
  <c r="M259" i="1"/>
  <c r="Q258" i="1"/>
  <c r="P258" i="1"/>
  <c r="M258" i="1"/>
  <c r="M257" i="1"/>
  <c r="S257" i="1" s="1"/>
  <c r="Q256" i="1"/>
  <c r="P256" i="1"/>
  <c r="M256" i="1"/>
  <c r="S256" i="1" s="1"/>
  <c r="Q255" i="1"/>
  <c r="P255" i="1"/>
  <c r="S255" i="1" s="1"/>
  <c r="M255" i="1"/>
  <c r="M254" i="1"/>
  <c r="S254" i="1" s="1"/>
  <c r="M253" i="1"/>
  <c r="S253" i="1" s="1"/>
  <c r="Q252" i="1"/>
  <c r="P252" i="1"/>
  <c r="M252" i="1"/>
  <c r="S252" i="1" s="1"/>
  <c r="M251" i="1"/>
  <c r="M250" i="1"/>
  <c r="S250" i="1" s="1"/>
  <c r="Q249" i="1"/>
  <c r="P249" i="1"/>
  <c r="M249" i="1"/>
  <c r="M248" i="1"/>
  <c r="S248" i="1" s="1"/>
  <c r="M247" i="1"/>
  <c r="S247" i="1" s="1"/>
  <c r="Q246" i="1"/>
  <c r="P246" i="1"/>
  <c r="M246" i="1"/>
  <c r="Q245" i="1"/>
  <c r="P245" i="1"/>
  <c r="M245" i="1"/>
  <c r="Q244" i="1"/>
  <c r="P244" i="1"/>
  <c r="M244" i="1"/>
  <c r="S244" i="1" s="1"/>
  <c r="M243" i="1"/>
  <c r="M242" i="1"/>
  <c r="S242" i="1" s="1"/>
  <c r="Q241" i="1"/>
  <c r="P241" i="1"/>
  <c r="M241" i="1"/>
  <c r="M240" i="1"/>
  <c r="S240" i="1" s="1"/>
  <c r="M239" i="1"/>
  <c r="S239" i="1" s="1"/>
  <c r="Q238" i="1"/>
  <c r="P238" i="1"/>
  <c r="M238" i="1"/>
  <c r="M237" i="1"/>
  <c r="M236" i="1"/>
  <c r="S236" i="1" s="1"/>
  <c r="Q235" i="1"/>
  <c r="P235" i="1"/>
  <c r="S235" i="1" s="1"/>
  <c r="M235" i="1"/>
  <c r="Q234" i="1"/>
  <c r="P234" i="1"/>
  <c r="M234" i="1"/>
  <c r="Q233" i="1"/>
  <c r="P233" i="1"/>
  <c r="M233" i="1"/>
  <c r="M232" i="1"/>
  <c r="S232" i="1" s="1"/>
  <c r="M231" i="1"/>
  <c r="S231" i="1" s="1"/>
  <c r="Q230" i="1"/>
  <c r="P230" i="1"/>
  <c r="M230" i="1"/>
  <c r="M229" i="1"/>
  <c r="M228" i="1"/>
  <c r="S228" i="1" s="1"/>
  <c r="Q227" i="1"/>
  <c r="P227" i="1"/>
  <c r="S227" i="1" s="1"/>
  <c r="M227" i="1"/>
  <c r="M226" i="1"/>
  <c r="S226" i="1" s="1"/>
  <c r="M225" i="1"/>
  <c r="S225" i="1" s="1"/>
  <c r="Q224" i="1"/>
  <c r="P224" i="1"/>
  <c r="M224" i="1"/>
  <c r="S224" i="1" s="1"/>
  <c r="Q223" i="1"/>
  <c r="P223" i="1"/>
  <c r="S223" i="1" s="1"/>
  <c r="M223" i="1"/>
  <c r="M222" i="1"/>
  <c r="S222" i="1" s="1"/>
  <c r="M221" i="1"/>
  <c r="S221" i="1" s="1"/>
  <c r="Q220" i="1"/>
  <c r="P220" i="1"/>
  <c r="M220" i="1"/>
  <c r="S220" i="1" s="1"/>
  <c r="M219" i="1"/>
  <c r="S219" i="1" s="1"/>
  <c r="M218" i="1"/>
  <c r="S218" i="1" s="1"/>
  <c r="Q217" i="1"/>
  <c r="P217" i="1"/>
  <c r="M217" i="1"/>
  <c r="M216" i="1"/>
  <c r="S216" i="1" s="1"/>
  <c r="M215" i="1"/>
  <c r="Q214" i="1"/>
  <c r="P214" i="1"/>
  <c r="M214" i="1"/>
  <c r="M213" i="1"/>
  <c r="S213" i="1" s="1"/>
  <c r="M212" i="1"/>
  <c r="S212" i="1" s="1"/>
  <c r="Q211" i="1"/>
  <c r="P211" i="1"/>
  <c r="S211" i="1" s="1"/>
  <c r="M211" i="1"/>
  <c r="Q210" i="1"/>
  <c r="P210" i="1"/>
  <c r="M210" i="1"/>
  <c r="M209" i="1"/>
  <c r="M208" i="1"/>
  <c r="S208" i="1" s="1"/>
  <c r="Q207" i="1"/>
  <c r="P207" i="1"/>
  <c r="S207" i="1" s="1"/>
  <c r="M207" i="1"/>
  <c r="Q206" i="1"/>
  <c r="P206" i="1"/>
  <c r="M206" i="1"/>
  <c r="R205" i="1"/>
  <c r="Q205" i="1"/>
  <c r="P205" i="1"/>
  <c r="M205" i="1"/>
  <c r="R204" i="1"/>
  <c r="Q204" i="1"/>
  <c r="P204" i="1"/>
  <c r="M204" i="1"/>
  <c r="M203" i="1"/>
  <c r="S203" i="1" s="1"/>
  <c r="M202" i="1"/>
  <c r="S202" i="1" s="1"/>
  <c r="M201" i="1"/>
  <c r="S201" i="1" s="1"/>
  <c r="M200" i="1"/>
  <c r="S200" i="1" s="1"/>
  <c r="R199" i="1"/>
  <c r="Q199" i="1"/>
  <c r="P199" i="1"/>
  <c r="M199" i="1"/>
  <c r="M198" i="1"/>
  <c r="S198" i="1" s="1"/>
  <c r="M197" i="1"/>
  <c r="S197" i="1" s="1"/>
  <c r="M196" i="1"/>
  <c r="S196" i="1" s="1"/>
  <c r="M195" i="1"/>
  <c r="S195" i="1" s="1"/>
  <c r="M194" i="1"/>
  <c r="M193" i="1"/>
  <c r="S193" i="1" s="1"/>
  <c r="M192" i="1"/>
  <c r="S192" i="1" s="1"/>
  <c r="Q191" i="1"/>
  <c r="P191" i="1"/>
  <c r="M191" i="1"/>
  <c r="R190" i="1"/>
  <c r="Q190" i="1"/>
  <c r="P190" i="1"/>
  <c r="M190" i="1"/>
  <c r="M189" i="1"/>
  <c r="S189" i="1" s="1"/>
  <c r="M188" i="1"/>
  <c r="S188" i="1" s="1"/>
  <c r="M187" i="1"/>
  <c r="S187" i="1" s="1"/>
  <c r="M186" i="1"/>
  <c r="S186" i="1" s="1"/>
  <c r="M185" i="1"/>
  <c r="S185" i="1" s="1"/>
  <c r="M184" i="1"/>
  <c r="S184" i="1" s="1"/>
  <c r="M183" i="1"/>
  <c r="S183" i="1" s="1"/>
  <c r="M182" i="1"/>
  <c r="S182" i="1" s="1"/>
  <c r="M181" i="1"/>
  <c r="S181" i="1" s="1"/>
  <c r="M180" i="1"/>
  <c r="S180" i="1" s="1"/>
  <c r="M179" i="1"/>
  <c r="S179" i="1" s="1"/>
  <c r="M178" i="1"/>
  <c r="S178" i="1" s="1"/>
  <c r="M177" i="1"/>
  <c r="S177" i="1" s="1"/>
  <c r="M176" i="1"/>
  <c r="S176" i="1" s="1"/>
  <c r="M175" i="1"/>
  <c r="S175" i="1" s="1"/>
  <c r="M174" i="1"/>
  <c r="S174" i="1" s="1"/>
  <c r="M173" i="1"/>
  <c r="S173" i="1" s="1"/>
  <c r="M172" i="1"/>
  <c r="S172" i="1" s="1"/>
  <c r="M171" i="1"/>
  <c r="S171" i="1" s="1"/>
  <c r="M170" i="1"/>
  <c r="S170" i="1" s="1"/>
  <c r="R169" i="1"/>
  <c r="P169" i="1"/>
  <c r="S169" i="1" s="1"/>
  <c r="M169" i="1"/>
  <c r="M168" i="1"/>
  <c r="S168" i="1" s="1"/>
  <c r="M167" i="1"/>
  <c r="S167" i="1" s="1"/>
  <c r="M166" i="1"/>
  <c r="S166" i="1" s="1"/>
  <c r="M165" i="1"/>
  <c r="M164" i="1"/>
  <c r="S164" i="1" s="1"/>
  <c r="M163" i="1"/>
  <c r="S163" i="1" s="1"/>
  <c r="M162" i="1"/>
  <c r="S162" i="1" s="1"/>
  <c r="M161" i="1"/>
  <c r="M160" i="1"/>
  <c r="S160" i="1" s="1"/>
  <c r="M159" i="1"/>
  <c r="S159" i="1" s="1"/>
  <c r="M158" i="1"/>
  <c r="S158" i="1" s="1"/>
  <c r="M157" i="1"/>
  <c r="Q156" i="1"/>
  <c r="P156" i="1"/>
  <c r="M156" i="1"/>
  <c r="Q155" i="1"/>
  <c r="P155" i="1"/>
  <c r="M155" i="1"/>
  <c r="S155" i="1" s="1"/>
  <c r="M154" i="1"/>
  <c r="S154" i="1" s="1"/>
  <c r="S156" i="1" l="1"/>
  <c r="S190" i="1"/>
  <c r="S191" i="1"/>
  <c r="S199" i="1"/>
  <c r="S204" i="1"/>
  <c r="S205" i="1"/>
  <c r="S206" i="1"/>
  <c r="S210" i="1"/>
  <c r="S214" i="1"/>
  <c r="S230" i="1"/>
  <c r="S234" i="1"/>
  <c r="S238" i="1"/>
  <c r="S246" i="1"/>
  <c r="S258" i="1"/>
  <c r="S260" i="1"/>
  <c r="S264" i="1"/>
  <c r="S217" i="1"/>
  <c r="S233" i="1"/>
  <c r="S241" i="1"/>
  <c r="S245" i="1"/>
  <c r="S249" i="1"/>
</calcChain>
</file>

<file path=xl/sharedStrings.xml><?xml version="1.0" encoding="utf-8"?>
<sst xmlns="http://schemas.openxmlformats.org/spreadsheetml/2006/main" count="9192" uniqueCount="1478">
  <si>
    <t>Company : 004997 - PENANG GLOBAL TOURISM SDN BHD</t>
  </si>
  <si>
    <t>Account Opening Branch : Jalan Mahsuri</t>
  </si>
  <si>
    <t xml:space="preserve"> Bayan Baru</t>
  </si>
  <si>
    <t>Account No. : 8003879954/PENANG GLOBAL TOURISM SDN BHD(MYR)</t>
  </si>
  <si>
    <t>Period : 01-03-2017 - 23-03-2017</t>
  </si>
  <si>
    <t>Opening Available Balance : 185760.77</t>
  </si>
  <si>
    <t>Closing Available Balance : 135710.81</t>
  </si>
  <si>
    <t>Account Number</t>
  </si>
  <si>
    <t>Record Sequence Number</t>
  </si>
  <si>
    <t>Transaction Date</t>
  </si>
  <si>
    <t>Transaction Code</t>
  </si>
  <si>
    <t>Transaction Code Description</t>
  </si>
  <si>
    <t>Originating Branch Code</t>
  </si>
  <si>
    <t>Document Reference Number</t>
  </si>
  <si>
    <t>Transaction Amount</t>
  </si>
  <si>
    <t>Transaction Amount Type</t>
  </si>
  <si>
    <t>Balance</t>
  </si>
  <si>
    <t>Balance Type</t>
  </si>
  <si>
    <t>Transaction Time</t>
  </si>
  <si>
    <t>Customer Reference</t>
  </si>
  <si>
    <t>Filler</t>
  </si>
  <si>
    <t>Record Type</t>
  </si>
  <si>
    <t>Recipient Reference</t>
  </si>
  <si>
    <t>Other Payment Details</t>
  </si>
  <si>
    <t>Sender Name</t>
  </si>
  <si>
    <t>HSE CHQ DEPOSIT</t>
  </si>
  <si>
    <t>C</t>
  </si>
  <si>
    <t>TR TO SAVINGS</t>
  </si>
  <si>
    <t>D</t>
  </si>
  <si>
    <t>TR IBG</t>
  </si>
  <si>
    <t>GST</t>
  </si>
  <si>
    <t>OTHER TRANSFER FEE</t>
  </si>
  <si>
    <t>CHQ PROCESSING FEE</t>
  </si>
  <si>
    <t>CLRG CHQ DR</t>
  </si>
  <si>
    <t>TELEX/FAX</t>
  </si>
  <si>
    <t>TR TO REMITT</t>
  </si>
  <si>
    <t>I-FUNDS TR FROM SA</t>
  </si>
  <si>
    <t>HOUSE CHQ DR</t>
  </si>
  <si>
    <t>2D LOCAL CHQ</t>
  </si>
  <si>
    <t>IBG CREDIT</t>
  </si>
  <si>
    <t>LOCAL CHQ RTN</t>
  </si>
  <si>
    <t>SERVICE CHARGE FOR INWARD UNPAID ITEMS</t>
  </si>
  <si>
    <t>REMITTANCE CR</t>
  </si>
  <si>
    <t>TR TO C/A</t>
  </si>
  <si>
    <t>GST N/A</t>
  </si>
  <si>
    <t>Unpresent</t>
  </si>
  <si>
    <t>CDM CASH DEPOSIT</t>
  </si>
  <si>
    <t>D0547750</t>
  </si>
  <si>
    <t>AUTOPAY CR</t>
  </si>
  <si>
    <t>I-PAYMENT</t>
  </si>
  <si>
    <t>TR FUNDS CHARGES</t>
  </si>
  <si>
    <t>AUTOPAY DR</t>
  </si>
  <si>
    <t>N/A</t>
  </si>
  <si>
    <t/>
  </si>
  <si>
    <t>TR FROM CA</t>
  </si>
  <si>
    <t>spinecare chiro</t>
  </si>
  <si>
    <t>SPINECARE CHIROPRACT</t>
  </si>
  <si>
    <t>/ROC/KLMP0014345 RHB ASSET MANAGEMENT SD</t>
  </si>
  <si>
    <t>KLMP0014345</t>
  </si>
  <si>
    <t>RESIDENT</t>
  </si>
  <si>
    <t>RHB ASSET MANAGEMENT</t>
  </si>
  <si>
    <t>ONE IMAGE BALLOON SD</t>
  </si>
  <si>
    <t>PGTEFT2248</t>
  </si>
  <si>
    <t>INV00001609</t>
  </si>
  <si>
    <t>PGTEFT2248          INV00001609</t>
  </si>
  <si>
    <t>TW TACTICAL CAMPAIGN WONDERFOOD MUSEUM S</t>
  </si>
  <si>
    <t>PGTEFT2255</t>
  </si>
  <si>
    <t>WDF0317-025</t>
  </si>
  <si>
    <t>VANDA DYNAMIC ENTERP</t>
  </si>
  <si>
    <t>PGTEFT2254</t>
  </si>
  <si>
    <t>PG-141-17</t>
  </si>
  <si>
    <t>PGTEFT2254          PG-141-17</t>
  </si>
  <si>
    <t>KL TRIP SIM KOK JIUN</t>
  </si>
  <si>
    <t>PGTEFT2257</t>
  </si>
  <si>
    <t>CLAIMS</t>
  </si>
  <si>
    <t>TLM EVENT SDN BHD</t>
  </si>
  <si>
    <t>PGTEFT2253</t>
  </si>
  <si>
    <t>INV17-009 016</t>
  </si>
  <si>
    <t>PGTEFT2253          INV17-009 016</t>
  </si>
  <si>
    <t>RED STAR PRODUCTION</t>
  </si>
  <si>
    <t>PGTEFT2251</t>
  </si>
  <si>
    <t>MARCH2017</t>
  </si>
  <si>
    <t>PGTEFT2251          MARCH2017</t>
  </si>
  <si>
    <t>HG LIM ELECTRICAL EN</t>
  </si>
  <si>
    <t>PGTEFT2256</t>
  </si>
  <si>
    <t>HG-0280-04-17</t>
  </si>
  <si>
    <t>PGTEFT2256          HG-0280-04-17</t>
  </si>
  <si>
    <t>TOONG LI STATIONERY</t>
  </si>
  <si>
    <t>PGTEFT2252</t>
  </si>
  <si>
    <t>IV-127101</t>
  </si>
  <si>
    <t>PGTEFT2252          IV-127101</t>
  </si>
  <si>
    <t>CARICATURE RISING ONE MEDIA SD</t>
  </si>
  <si>
    <t>PGTEFT2250</t>
  </si>
  <si>
    <t>INN14258</t>
  </si>
  <si>
    <t>BAG HANGER HOOI CERAMICS &amp; GIF</t>
  </si>
  <si>
    <t>PGTEFT2244</t>
  </si>
  <si>
    <t>INV2825</t>
  </si>
  <si>
    <t>KAKI CREATION</t>
  </si>
  <si>
    <t>PGTEFT2246</t>
  </si>
  <si>
    <t>KKCN17-INV022</t>
  </si>
  <si>
    <t>PGTEFT2246          KKCN17-INV022</t>
  </si>
  <si>
    <t>HARPERS TRAVEL (M) S</t>
  </si>
  <si>
    <t>PGTEFT2243</t>
  </si>
  <si>
    <t>HPT0010273</t>
  </si>
  <si>
    <t>PGTEFT2243          HPT0010273</t>
  </si>
  <si>
    <t>JOSH LEE FRAGRANCES</t>
  </si>
  <si>
    <t>PGTEFT2245</t>
  </si>
  <si>
    <t>IN0417-006</t>
  </si>
  <si>
    <t>PGTEFT2245          IN0417-006</t>
  </si>
  <si>
    <t>CLARITY PUBLISHING S</t>
  </si>
  <si>
    <t>PGTEFT2240</t>
  </si>
  <si>
    <t>PGT03-17INV</t>
  </si>
  <si>
    <t>PGTEFT2240          PGT03-17INV</t>
  </si>
  <si>
    <t>CHEONG SENG CHAN SDN</t>
  </si>
  <si>
    <t>PGTEFT2239</t>
  </si>
  <si>
    <t>INV00006843</t>
  </si>
  <si>
    <t>PGTEFT2239          INV00006843</t>
  </si>
  <si>
    <t>LED FOR MAR'17 PERFORMANCE PLUS MA</t>
  </si>
  <si>
    <t>PGTEFT2249</t>
  </si>
  <si>
    <t>PPM17-04-01</t>
  </si>
  <si>
    <t>FUJI XEROX ASIA PACI</t>
  </si>
  <si>
    <t>PGTEFT2242</t>
  </si>
  <si>
    <t>301203975 301225577</t>
  </si>
  <si>
    <t>PGTEFT2242          301203975 301225577</t>
  </si>
  <si>
    <t>LOH YIN SUET</t>
  </si>
  <si>
    <t>PGTEFT2247</t>
  </si>
  <si>
    <t>WELCOMING RECEPTION</t>
  </si>
  <si>
    <t>PGTEFT2247          WELCOMING RECEPTION</t>
  </si>
  <si>
    <t>FTZ TRAVEL &amp; TOURS S</t>
  </si>
  <si>
    <t>PGTEFT2241</t>
  </si>
  <si>
    <t>P14446 P14448</t>
  </si>
  <si>
    <t>PGTEFT2241          P14446 P14448</t>
  </si>
  <si>
    <t>S6109349</t>
  </si>
  <si>
    <t>Period : 01-05-2017 - 04-05-2017</t>
  </si>
  <si>
    <t>Opening Available Balance : 258740.14</t>
  </si>
  <si>
    <t>Closing Available Balance : 214291.96</t>
  </si>
  <si>
    <t>TR FUNDS CHARGES N/A</t>
  </si>
  <si>
    <t>CHEQUE STAMP DUTY</t>
  </si>
  <si>
    <t>AUDIT CONFIRMATION CHARGE - WITHOUT FACI</t>
  </si>
  <si>
    <t>OON KOK EU</t>
  </si>
  <si>
    <t>PGTEFT2270</t>
  </si>
  <si>
    <t>BROCHURE DISTRIBUTIO</t>
  </si>
  <si>
    <t>PGTEFT2270          BROCHURE DISTRIBUTIO</t>
  </si>
  <si>
    <t>RoadShow SIN,TWN</t>
  </si>
  <si>
    <t>HolidayTours PG</t>
  </si>
  <si>
    <t>HOLIDAY TOURS &amp; TRAV</t>
  </si>
  <si>
    <t>TELEX/FAX N/A</t>
  </si>
  <si>
    <t>916865185</t>
  </si>
  <si>
    <t>20015240517T0476</t>
  </si>
  <si>
    <t>2017052344851018</t>
  </si>
  <si>
    <t>Pay to TNB: 220543740007</t>
  </si>
  <si>
    <t>2017052344850776</t>
  </si>
  <si>
    <t>Pay to TNB: 220543726302</t>
  </si>
  <si>
    <t>16871965</t>
  </si>
  <si>
    <t>PTE YOON PAULINE</t>
  </si>
  <si>
    <t>PGTEFT2319</t>
  </si>
  <si>
    <t>16865659</t>
  </si>
  <si>
    <t>TAIWAN CAMPAIGN BUTTERFLY HOUSE (PG</t>
  </si>
  <si>
    <t>PGTEFT2315</t>
  </si>
  <si>
    <t>D001236 D001300</t>
  </si>
  <si>
    <t>16872589</t>
  </si>
  <si>
    <t>L&amp;O STANDARD SDN BHD</t>
  </si>
  <si>
    <t>PROFORMA INV</t>
  </si>
  <si>
    <t>PGTEFT2315          PROFORMA INV</t>
  </si>
  <si>
    <t>16872778</t>
  </si>
  <si>
    <t>LIANG CHOW MING</t>
  </si>
  <si>
    <t>PGTEFT2316</t>
  </si>
  <si>
    <t>INV19515</t>
  </si>
  <si>
    <t>PGTEFT2316          INV19515</t>
  </si>
  <si>
    <t>16865772</t>
  </si>
  <si>
    <t>YEAP KAM MOEY</t>
  </si>
  <si>
    <t>PGTEFT2330</t>
  </si>
  <si>
    <t>GUIDE FEE ON 6-5-17</t>
  </si>
  <si>
    <t>PGTEFT2330          GUIDE FEE ON 6-5-17</t>
  </si>
  <si>
    <t>16872900</t>
  </si>
  <si>
    <t>APMG &amp; PTE JOHOR OOI CHOK YAN</t>
  </si>
  <si>
    <t>PGTEFT2318</t>
  </si>
  <si>
    <t>16767835</t>
  </si>
  <si>
    <t>CREATHINK SOLUTIONS</t>
  </si>
  <si>
    <t>INV2017-00011</t>
  </si>
  <si>
    <t>PGTEFT2315          INV2017-00011</t>
  </si>
  <si>
    <t>16872899</t>
  </si>
  <si>
    <t>CLAIMS MARY ANN HARRIS</t>
  </si>
  <si>
    <t>PGTEFT2317</t>
  </si>
  <si>
    <t>PCET</t>
  </si>
  <si>
    <t>99290200</t>
  </si>
  <si>
    <t>PENANG GLOBAL TOURIS</t>
  </si>
  <si>
    <t>INTERGRASI PERKEMBAN</t>
  </si>
  <si>
    <t>800316663203</t>
  </si>
  <si>
    <t>2017051643433410</t>
  </si>
  <si>
    <t>2017051643433400</t>
  </si>
  <si>
    <t>Period : 26-05-2017 - 01-06-2017</t>
  </si>
  <si>
    <t>Opening Available Balance : 59526.15</t>
  </si>
  <si>
    <t>Closing Available Balance : 1471189.08</t>
  </si>
  <si>
    <t>00687948</t>
  </si>
  <si>
    <t>ATM MEPS IBFT FROM OFI</t>
  </si>
  <si>
    <t>A9998167</t>
  </si>
  <si>
    <t>janiceadvance return</t>
  </si>
  <si>
    <t>INSTANT TRANSFER</t>
  </si>
  <si>
    <t>KUA JANICE TZE PHING</t>
  </si>
  <si>
    <t>00687963</t>
  </si>
  <si>
    <t>00687949</t>
  </si>
  <si>
    <t>00687945</t>
  </si>
  <si>
    <t>17483839</t>
  </si>
  <si>
    <t>REDBERRY OUTDOORS SD</t>
  </si>
  <si>
    <t>PGTEFT2371</t>
  </si>
  <si>
    <t>RBO10987 10988 10991</t>
  </si>
  <si>
    <t>PGTEFT2371          RBO10987 10988 10991</t>
  </si>
  <si>
    <t>17484109</t>
  </si>
  <si>
    <t>PERBADANAN BUKIT BEN</t>
  </si>
  <si>
    <t>PGTEFT2370</t>
  </si>
  <si>
    <t>IV-00124 IV-00123</t>
  </si>
  <si>
    <t>PGTEFT2370          IV-00124 IV-00123</t>
  </si>
  <si>
    <t>17483604</t>
  </si>
  <si>
    <t>TWN CAMPAIGN WONDERFOOD MUSEUM S</t>
  </si>
  <si>
    <t>PGTEFT2375</t>
  </si>
  <si>
    <t>WDF0517-031</t>
  </si>
  <si>
    <t>17484184</t>
  </si>
  <si>
    <t>MAJLIS KEBUDAYAAN NE</t>
  </si>
  <si>
    <t>PGTEFT2369</t>
  </si>
  <si>
    <t>PGTEFT2369          WELCOMING RECEPTION</t>
  </si>
  <si>
    <t>17484314</t>
  </si>
  <si>
    <t>PGTEFT2367</t>
  </si>
  <si>
    <t>PGTEFT2367          WELCOMING RECEPTION</t>
  </si>
  <si>
    <t>17483650</t>
  </si>
  <si>
    <t>TNT EXPRESS WORLDWID</t>
  </si>
  <si>
    <t>PGTEFT2374</t>
  </si>
  <si>
    <t>INV7188289 7191501</t>
  </si>
  <si>
    <t>PGTEFT2374          INV7188289 7191501</t>
  </si>
  <si>
    <t>17483720</t>
  </si>
  <si>
    <t>GUIDE FEE 20/5 TOH KIM HOCK</t>
  </si>
  <si>
    <t>PGTEFT2373</t>
  </si>
  <si>
    <t>INV104T</t>
  </si>
  <si>
    <t>17484403</t>
  </si>
  <si>
    <t>K TWO TRADING</t>
  </si>
  <si>
    <t>PGTEFT2366</t>
  </si>
  <si>
    <t>C5346 C5337 C5304</t>
  </si>
  <si>
    <t>PGTEFT2366          C5346 C5337 C5304</t>
  </si>
  <si>
    <t>17483777</t>
  </si>
  <si>
    <t>SHERWYND RYLAN KESSL</t>
  </si>
  <si>
    <t>PGTEFT2372</t>
  </si>
  <si>
    <t>INV001102</t>
  </si>
  <si>
    <t>PGTEFT2372          INV001102</t>
  </si>
  <si>
    <t>17484246</t>
  </si>
  <si>
    <t>PGTEFT2368</t>
  </si>
  <si>
    <t>HG-1143-05-17</t>
  </si>
  <si>
    <t>PGTEFT2368          HG-1143-05-17</t>
  </si>
  <si>
    <t>17485057</t>
  </si>
  <si>
    <t>ITE HK OOI CHOK YAN</t>
  </si>
  <si>
    <t>PGTEFT2358</t>
  </si>
  <si>
    <t>ADVANCE</t>
  </si>
  <si>
    <t>17485055</t>
  </si>
  <si>
    <t>ITE HK DANNY TAN LEE KEONG</t>
  </si>
  <si>
    <t>PGTEFT2357</t>
  </si>
  <si>
    <t>17484785</t>
  </si>
  <si>
    <t>YOSAKOI A.SANI KW SDN BHD</t>
  </si>
  <si>
    <t>PGTEFT2363</t>
  </si>
  <si>
    <t>INV04691 04716 04874</t>
  </si>
  <si>
    <t>17485054</t>
  </si>
  <si>
    <t>ITE HK LEONG WEI LENG</t>
  </si>
  <si>
    <t>PGTEFT2359</t>
  </si>
  <si>
    <t>17485056</t>
  </si>
  <si>
    <t>ITE HK THOY SIEW PING</t>
  </si>
  <si>
    <t>PGTEFT2360</t>
  </si>
  <si>
    <t>17485120</t>
  </si>
  <si>
    <t>KATAK CREATION</t>
  </si>
  <si>
    <t>PGTEFT2281</t>
  </si>
  <si>
    <t>INVA00018</t>
  </si>
  <si>
    <t>PGTEFT2281          INVA00018</t>
  </si>
  <si>
    <t>17484512</t>
  </si>
  <si>
    <t>PGTEFT2365</t>
  </si>
  <si>
    <t>HPT10786</t>
  </si>
  <si>
    <t>PGTEFT2365          HPT10786</t>
  </si>
  <si>
    <t>17484842</t>
  </si>
  <si>
    <t>ASTRO RADIO SDN BHD</t>
  </si>
  <si>
    <t>PGTEFT2361</t>
  </si>
  <si>
    <t>AR1704-21 22</t>
  </si>
  <si>
    <t>PGTEFT2361          AR1704-21 22</t>
  </si>
  <si>
    <t>17485377</t>
  </si>
  <si>
    <t>D002141 BUTTERFLY HOUSE (PG</t>
  </si>
  <si>
    <t>PGTEFT2362</t>
  </si>
  <si>
    <t>D001435 D002096</t>
  </si>
  <si>
    <t>17484634</t>
  </si>
  <si>
    <t>HOHO FOR APR &amp; MAY ELANG WAH SDN. BHD.</t>
  </si>
  <si>
    <t>PGTEFT2364</t>
  </si>
  <si>
    <t>LFSS</t>
  </si>
  <si>
    <t>00687961</t>
  </si>
  <si>
    <t>00687960</t>
  </si>
  <si>
    <t>17344220</t>
  </si>
  <si>
    <t>PGTEFT2353</t>
  </si>
  <si>
    <t>PGTEFT2353          BROCHURE DISTRIBUTIO</t>
  </si>
  <si>
    <t>17343591</t>
  </si>
  <si>
    <t>REPAIR OF AIRCOND CO OOI CHOK YAN</t>
  </si>
  <si>
    <t>PGTEFT2355</t>
  </si>
  <si>
    <t>17344104</t>
  </si>
  <si>
    <t>REGIONAL GM VISIT YOON PAULINE</t>
  </si>
  <si>
    <t>PGTEFT2354</t>
  </si>
  <si>
    <t>17344490</t>
  </si>
  <si>
    <t>NO. ANSURAN 5 2017 AKAUN KJAAN MSIA PU</t>
  </si>
  <si>
    <t>PGTEFT2352</t>
  </si>
  <si>
    <t>NO RUJ C285195105</t>
  </si>
  <si>
    <t>HOUSE CHQ RTN</t>
  </si>
  <si>
    <t>55</t>
  </si>
  <si>
    <t>00687959</t>
  </si>
  <si>
    <t>00687958</t>
  </si>
  <si>
    <t>00687957</t>
  </si>
  <si>
    <t>00687956</t>
  </si>
  <si>
    <t>00687955</t>
  </si>
  <si>
    <t>00687954</t>
  </si>
  <si>
    <t>00687953</t>
  </si>
  <si>
    <t>00687952</t>
  </si>
  <si>
    <t>PGTSB - YES2MALAYSIA</t>
  </si>
  <si>
    <t>SEGI COLLEGE (PG) SD</t>
  </si>
  <si>
    <t>62894</t>
  </si>
  <si>
    <t>Joanne Adv Balance</t>
  </si>
  <si>
    <t>JOANNE KHOO ROU YAN</t>
  </si>
  <si>
    <t>00687969</t>
  </si>
  <si>
    <t>00687967</t>
  </si>
  <si>
    <t>00687966</t>
  </si>
  <si>
    <t>00687962</t>
  </si>
  <si>
    <t>00120212</t>
  </si>
  <si>
    <t>00000000</t>
  </si>
  <si>
    <t>LN DD 22/5/2017</t>
  </si>
  <si>
    <t>DEBIT ADVICE</t>
  </si>
  <si>
    <t>17700633</t>
  </si>
  <si>
    <t>ADVANCE FOR FB</t>
  </si>
  <si>
    <t>PGTEFT2375          ADVANCE FOR FB</t>
  </si>
  <si>
    <t>00491027</t>
  </si>
  <si>
    <t>206736423</t>
  </si>
  <si>
    <t>20008140617T0025</t>
  </si>
  <si>
    <t>00687947</t>
  </si>
  <si>
    <t>00687964</t>
  </si>
  <si>
    <t>40865717</t>
  </si>
  <si>
    <t>G375</t>
  </si>
  <si>
    <t>110000</t>
  </si>
  <si>
    <t>214286980</t>
  </si>
  <si>
    <t>20008090617T0117</t>
  </si>
  <si>
    <t>214286981</t>
  </si>
  <si>
    <t>20008090617T0114</t>
  </si>
  <si>
    <t>214286982</t>
  </si>
  <si>
    <t>20008090617T0110    /CHINAPAY/</t>
  </si>
  <si>
    <t>214286983</t>
  </si>
  <si>
    <t>20008090617T0106</t>
  </si>
  <si>
    <t>00542252</t>
  </si>
  <si>
    <t>CAMPAIGN FEES</t>
  </si>
  <si>
    <t>TR TO RENTAS</t>
  </si>
  <si>
    <t>CTRIP INTERNATIONAL</t>
  </si>
  <si>
    <t>CREDIT ADV</t>
  </si>
  <si>
    <t>00687968</t>
  </si>
  <si>
    <t>RENTAS</t>
  </si>
  <si>
    <t>SERVICE CHARGE N/A</t>
  </si>
  <si>
    <t>00102629</t>
  </si>
  <si>
    <t>18035318</t>
  </si>
  <si>
    <t>AKAUN PUNGUTAN POTON</t>
  </si>
  <si>
    <t>PGTEFT2379</t>
  </si>
  <si>
    <t>PTPTN LOAN</t>
  </si>
  <si>
    <t>PGTEFT2379          PTPTN LOAN</t>
  </si>
  <si>
    <t>98993541</t>
  </si>
  <si>
    <t>98003541</t>
  </si>
  <si>
    <t>Bulk Payment</t>
  </si>
  <si>
    <t>18068432</t>
  </si>
  <si>
    <t>PGTEFT2403</t>
  </si>
  <si>
    <t>INV301247427</t>
  </si>
  <si>
    <t>PGTEFT2403          INV301247427</t>
  </si>
  <si>
    <t>18067874</t>
  </si>
  <si>
    <t>ROD CREATIVE SDN BHD</t>
  </si>
  <si>
    <t>PGTEFT2405</t>
  </si>
  <si>
    <t>INV151227</t>
  </si>
  <si>
    <t>PGTEFT2405          INV151227</t>
  </si>
  <si>
    <t>18066029</t>
  </si>
  <si>
    <t>PGTEFT2410</t>
  </si>
  <si>
    <t>ACC233560</t>
  </si>
  <si>
    <t>PGTEFT2410          ACC233560</t>
  </si>
  <si>
    <t>18069593</t>
  </si>
  <si>
    <t>CHEONG YANG GUANG</t>
  </si>
  <si>
    <t>PGTEFT2398</t>
  </si>
  <si>
    <t>PIFF</t>
  </si>
  <si>
    <t>PGTEFT2398          PIFF</t>
  </si>
  <si>
    <t>18069319</t>
  </si>
  <si>
    <t>DISCOVERY OVERLAND H</t>
  </si>
  <si>
    <t>PGTEFT2400</t>
  </si>
  <si>
    <t>INV732972</t>
  </si>
  <si>
    <t>PGTEFT2400          INV732972</t>
  </si>
  <si>
    <t>18069126</t>
  </si>
  <si>
    <t>ERNST &amp; YOUNG TAX CO</t>
  </si>
  <si>
    <t>PGTEFT2401</t>
  </si>
  <si>
    <t>MY00200198338</t>
  </si>
  <si>
    <t>PGTEFT2401          MY00200198338</t>
  </si>
  <si>
    <t>18069502</t>
  </si>
  <si>
    <t>CAHAYAN UTARA SDN BH</t>
  </si>
  <si>
    <t>PGTEFT2399</t>
  </si>
  <si>
    <t>INV303704</t>
  </si>
  <si>
    <t>PGTEFT2399          INV303704</t>
  </si>
  <si>
    <t>18069711</t>
  </si>
  <si>
    <t>BOLD INSPIRATION SDN</t>
  </si>
  <si>
    <t>PGTEFT2397</t>
  </si>
  <si>
    <t>JN0361</t>
  </si>
  <si>
    <t>PGTEFT2397          JN0361</t>
  </si>
  <si>
    <t>18068059</t>
  </si>
  <si>
    <t>PGTEFT2404</t>
  </si>
  <si>
    <t>HPT0010905</t>
  </si>
  <si>
    <t>PGTEFT2404          HPT0010905</t>
  </si>
  <si>
    <t>18068727</t>
  </si>
  <si>
    <t>D002311 D002250 BUTTERFLY HOUSE (PG</t>
  </si>
  <si>
    <t>PGTEFT2402</t>
  </si>
  <si>
    <t>D002176 D002178</t>
  </si>
  <si>
    <t>2017062952786852</t>
  </si>
  <si>
    <t>2017062952786722</t>
  </si>
  <si>
    <t>Pay to TNB: 220543735508</t>
  </si>
  <si>
    <t>2017062952786710</t>
  </si>
  <si>
    <t>2017062952786587</t>
  </si>
  <si>
    <t>/ROC/KLMP0017955 RHB ASSET MANAGEMENT SD</t>
  </si>
  <si>
    <t>KLMP0017955</t>
  </si>
  <si>
    <t>18069800</t>
  </si>
  <si>
    <t>PGTEFT2396</t>
  </si>
  <si>
    <t>HG-1145-06-17</t>
  </si>
  <si>
    <t>PGTEFT2396          HG-1145-06-17</t>
  </si>
  <si>
    <t>98993529</t>
  </si>
  <si>
    <t>98003529</t>
  </si>
  <si>
    <t>Period : 01-07-2017 - 09-07-2017</t>
  </si>
  <si>
    <t>Opening Available Balance : 414385.27</t>
  </si>
  <si>
    <t>Closing Available Balance : 2954044.92</t>
  </si>
  <si>
    <t>00687979</t>
  </si>
  <si>
    <t>2017071356592667</t>
  </si>
  <si>
    <t>18675123</t>
  </si>
  <si>
    <t>YANGON MANDALAY MARY ANN HARRIS</t>
  </si>
  <si>
    <t>PGTEFT2445</t>
  </si>
  <si>
    <t>PCET CLAIMS</t>
  </si>
  <si>
    <t>2017071356591367</t>
  </si>
  <si>
    <t>18675718</t>
  </si>
  <si>
    <t>GUIDE FEE MAY &amp; JUNE TOH KIM HOCK</t>
  </si>
  <si>
    <t>PGTEFT2437</t>
  </si>
  <si>
    <t>18675406</t>
  </si>
  <si>
    <t>PGTEFT2441</t>
  </si>
  <si>
    <t>PGTEFT2441          ACC233560</t>
  </si>
  <si>
    <t>18675550</t>
  </si>
  <si>
    <t>PGTEFT2439</t>
  </si>
  <si>
    <t>IV-129180</t>
  </si>
  <si>
    <t>PGTEFT2439          IV-129180</t>
  </si>
  <si>
    <t>18675821</t>
  </si>
  <si>
    <t>PGTEFT2435</t>
  </si>
  <si>
    <t>INV151455 151453</t>
  </si>
  <si>
    <t>PGTEFT2435          INV151455 151453</t>
  </si>
  <si>
    <t>2017071356591353</t>
  </si>
  <si>
    <t>Pay to TNB: 220543728710</t>
  </si>
  <si>
    <t>18675766</t>
  </si>
  <si>
    <t>SHIN YAERA</t>
  </si>
  <si>
    <t>PGTEFT2436</t>
  </si>
  <si>
    <t>INV1700608</t>
  </si>
  <si>
    <t>PGTEFT2436          INV1700608</t>
  </si>
  <si>
    <t>18675481</t>
  </si>
  <si>
    <t>THUM CHIA CHIEH</t>
  </si>
  <si>
    <t>PGTEFT2440</t>
  </si>
  <si>
    <t>PHOTOGRAPHY SERVICE</t>
  </si>
  <si>
    <t>PGTEFT2440          PHOTOGRAPHY SERVICE</t>
  </si>
  <si>
    <t>18675620</t>
  </si>
  <si>
    <t>TOP ONE DIGITAL SHOP</t>
  </si>
  <si>
    <t>PGTEFT2438</t>
  </si>
  <si>
    <t>IV-0022779</t>
  </si>
  <si>
    <t>PGTEFT2438          IV-0022779</t>
  </si>
  <si>
    <t>18676099</t>
  </si>
  <si>
    <t>LED RAJA UDA &amp; LED A PERFORMANCE PLUS MA</t>
  </si>
  <si>
    <t>PGTEFT2434</t>
  </si>
  <si>
    <t>PPM17-07-03 17-06-02</t>
  </si>
  <si>
    <t>18676380</t>
  </si>
  <si>
    <t>PGTEFT2431</t>
  </si>
  <si>
    <t>PGTEFT2431          WELCOMING RECEPTION</t>
  </si>
  <si>
    <t>18676668</t>
  </si>
  <si>
    <t>KOLEKSI WASAYANG</t>
  </si>
  <si>
    <t>PGTEFT2427</t>
  </si>
  <si>
    <t>INV201550</t>
  </si>
  <si>
    <t>PGTEFT2427          INV201550</t>
  </si>
  <si>
    <t>18676442</t>
  </si>
  <si>
    <t>PGTEFT2430</t>
  </si>
  <si>
    <t>GUIDE FEE</t>
  </si>
  <si>
    <t>PGTEFT2430          GUIDE FEE</t>
  </si>
  <si>
    <t>18676824</t>
  </si>
  <si>
    <t>PGTEFT2425</t>
  </si>
  <si>
    <t>P14846 P14845</t>
  </si>
  <si>
    <t>PGTEFT2425          P14846 P14845</t>
  </si>
  <si>
    <t>18676221</t>
  </si>
  <si>
    <t>PGCC SALES &amp; SERVICE</t>
  </si>
  <si>
    <t>PGTEFT2433</t>
  </si>
  <si>
    <t>INV9427-17</t>
  </si>
  <si>
    <t>PGTEFT2433          INV9427-17</t>
  </si>
  <si>
    <t>18676754</t>
  </si>
  <si>
    <t>SEAW HEAN TEIK</t>
  </si>
  <si>
    <t>PGTEFT2426</t>
  </si>
  <si>
    <t>PGTEFT2426          WELCOMING RECEPTION</t>
  </si>
  <si>
    <t>18676523</t>
  </si>
  <si>
    <t>LEE TER YI</t>
  </si>
  <si>
    <t>PGTEFT2429</t>
  </si>
  <si>
    <t>INV20170701001</t>
  </si>
  <si>
    <t>PGTEFT2429          INV20170701001</t>
  </si>
  <si>
    <t>18676927</t>
  </si>
  <si>
    <t>PGTEFT2424</t>
  </si>
  <si>
    <t>INV102510060</t>
  </si>
  <si>
    <t>PGTEFT2424          INV102510060</t>
  </si>
  <si>
    <t>18676297</t>
  </si>
  <si>
    <t>OPTIMAL MEDIA SDN BH</t>
  </si>
  <si>
    <t>PGTEFT2432</t>
  </si>
  <si>
    <t>INV301 INV314</t>
  </si>
  <si>
    <t>PGTEFT2432          INV301 INV314</t>
  </si>
  <si>
    <t>18676617</t>
  </si>
  <si>
    <t>HARDDISK&amp; JASON'S FA LIM HOOI LENG</t>
  </si>
  <si>
    <t>PGTEFT2428</t>
  </si>
  <si>
    <t>18677966</t>
  </si>
  <si>
    <t>ADELINE CHUA SHU TIN</t>
  </si>
  <si>
    <t>PGTEFT2415</t>
  </si>
  <si>
    <t>COPYWRITING</t>
  </si>
  <si>
    <t>PGTEFT2415          COPYWRITING</t>
  </si>
  <si>
    <t>18677419</t>
  </si>
  <si>
    <t>CHONG LEE CHOO</t>
  </si>
  <si>
    <t>PGTEFT2419</t>
  </si>
  <si>
    <t>PGHK2017</t>
  </si>
  <si>
    <t>PGTEFT2419          PGHK2017</t>
  </si>
  <si>
    <t>18677221</t>
  </si>
  <si>
    <t>DESIGN ARK SDN BHD</t>
  </si>
  <si>
    <t>PGTEFT2421</t>
  </si>
  <si>
    <t>IV-06304</t>
  </si>
  <si>
    <t>PGTEFT2421          IV-06304</t>
  </si>
  <si>
    <t>18679224</t>
  </si>
  <si>
    <t>PGTEFT2466</t>
  </si>
  <si>
    <t>WDF0717-41</t>
  </si>
  <si>
    <t>18677046</t>
  </si>
  <si>
    <t>EDEN CATERING SDN BH</t>
  </si>
  <si>
    <t>PGTEFT2423</t>
  </si>
  <si>
    <t>INV23304</t>
  </si>
  <si>
    <t>PGTEFT2423          INV23304</t>
  </si>
  <si>
    <t>18677624</t>
  </si>
  <si>
    <t>PAYROLL-JUNE'17 CORPORATENET ADVISO</t>
  </si>
  <si>
    <t>PGTEFT2417</t>
  </si>
  <si>
    <t>CA-17-0095</t>
  </si>
  <si>
    <t>18677316</t>
  </si>
  <si>
    <t>PGTEFT2420</t>
  </si>
  <si>
    <t>INV00007493 7494</t>
  </si>
  <si>
    <t>PGTEFT2420          INV00007493 7494</t>
  </si>
  <si>
    <t>18677555</t>
  </si>
  <si>
    <t>PGTEFT2418</t>
  </si>
  <si>
    <t>2017-30 2017-26</t>
  </si>
  <si>
    <t>PGTEFT2418          2017-30 2017-26</t>
  </si>
  <si>
    <t>18677144</t>
  </si>
  <si>
    <t>SAGE COVER RENEWAL E ZONE COMPUTER CEN</t>
  </si>
  <si>
    <t>PGTEFT2422</t>
  </si>
  <si>
    <t>INV00000771</t>
  </si>
  <si>
    <t>18677764</t>
  </si>
  <si>
    <t>TICKET FOR JUNE BUTTERFLY HOUSE (PG</t>
  </si>
  <si>
    <t>PGTEFT2416</t>
  </si>
  <si>
    <t>TW TACTICAL CAMPAIGN</t>
  </si>
  <si>
    <t>18629557</t>
  </si>
  <si>
    <t>REDTONE TELECOMMUNIC</t>
  </si>
  <si>
    <t>PGTEFT2414</t>
  </si>
  <si>
    <t>ACC 130000409</t>
  </si>
  <si>
    <t>PGTEFT2414          ACC 130000409</t>
  </si>
  <si>
    <t>CLRG CHQ RTN</t>
  </si>
  <si>
    <t>75</t>
  </si>
  <si>
    <t>00687976</t>
  </si>
  <si>
    <t>00687975</t>
  </si>
  <si>
    <t>00687974</t>
  </si>
  <si>
    <t>00687973</t>
  </si>
  <si>
    <t>00687971</t>
  </si>
  <si>
    <t>00687978</t>
  </si>
  <si>
    <t>00687970</t>
  </si>
  <si>
    <t>D5995839</t>
  </si>
  <si>
    <t>/ROC/KLMP0019061RES RHB ASSET MANAGEMENT</t>
  </si>
  <si>
    <t>KLMP0019061</t>
  </si>
  <si>
    <t>S6851551</t>
  </si>
  <si>
    <t>34720254</t>
  </si>
  <si>
    <t>18563233</t>
  </si>
  <si>
    <t>30811135</t>
  </si>
  <si>
    <t>74623722</t>
  </si>
  <si>
    <t>19011924</t>
  </si>
  <si>
    <t>MSIG INSURANCE (MALA</t>
  </si>
  <si>
    <t>PGTEFT2477</t>
  </si>
  <si>
    <t>GL1254058 1254053</t>
  </si>
  <si>
    <t>PGTEFT2477          GL1254058 1254053</t>
  </si>
  <si>
    <t>19011476</t>
  </si>
  <si>
    <t>PPB GROUP BERHAD</t>
  </si>
  <si>
    <t>PGTEFT2479</t>
  </si>
  <si>
    <t>RENEWAL OF TENANCY</t>
  </si>
  <si>
    <t>PGTEFT2479          RENEWAL OF TENANCY</t>
  </si>
  <si>
    <t>19010814</t>
  </si>
  <si>
    <t>PTE-MELAKA YOON PAULINE</t>
  </si>
  <si>
    <t>PGTEFT2483</t>
  </si>
  <si>
    <t>19011177</t>
  </si>
  <si>
    <t>PGTEFT2481</t>
  </si>
  <si>
    <t>JUNE2017</t>
  </si>
  <si>
    <t>PGTEFT2481          JUNE2017</t>
  </si>
  <si>
    <t>19011617</t>
  </si>
  <si>
    <t>ITE,HANATOUR, PTE SE OOI CHOK YAN</t>
  </si>
  <si>
    <t>PGTEFT2478</t>
  </si>
  <si>
    <t>19012023</t>
  </si>
  <si>
    <t>PGTEFT2476</t>
  </si>
  <si>
    <t>KKNPP-2017-02-14-16</t>
  </si>
  <si>
    <t>PGTEFT2476          KKNPP-2017-02-14-16</t>
  </si>
  <si>
    <t>19010919</t>
  </si>
  <si>
    <t>GUIDE FEE FOR JULY TOH KIM HOCK</t>
  </si>
  <si>
    <t>PGTEFT2482</t>
  </si>
  <si>
    <t>INV110T 111T</t>
  </si>
  <si>
    <t>19011350</t>
  </si>
  <si>
    <t>SECRETARIAL FEE APR- PDC PREMIER HOLDING</t>
  </si>
  <si>
    <t>PGTEFT2480</t>
  </si>
  <si>
    <t>INV00000489</t>
  </si>
  <si>
    <t>19015395</t>
  </si>
  <si>
    <t>EDITORIAL ASSOCIATES</t>
  </si>
  <si>
    <t>PGTEFT2469</t>
  </si>
  <si>
    <t>19014159</t>
  </si>
  <si>
    <t>PGTEFT2473</t>
  </si>
  <si>
    <t>A00019</t>
  </si>
  <si>
    <t>PGTEFT2473          A00019</t>
  </si>
  <si>
    <t>19015761</t>
  </si>
  <si>
    <t>DE MERIDIAN FLORIST</t>
  </si>
  <si>
    <t>PGTEFT2468</t>
  </si>
  <si>
    <t>INV4952</t>
  </si>
  <si>
    <t>PGTEFT2468          INV4952</t>
  </si>
  <si>
    <t>19015918</t>
  </si>
  <si>
    <t>PGTEFT2467</t>
  </si>
  <si>
    <t>PGT06-17INV</t>
  </si>
  <si>
    <t>PGTEFT2467          PGT06-17INV</t>
  </si>
  <si>
    <t>19014921</t>
  </si>
  <si>
    <t>HEKTY PUBLISHING SDN</t>
  </si>
  <si>
    <t>PGTEFT2471</t>
  </si>
  <si>
    <t>INV00501 00507</t>
  </si>
  <si>
    <t>PGTEFT2471          INV00501 00507</t>
  </si>
  <si>
    <t>19012397</t>
  </si>
  <si>
    <t>PTE-SEREMBAN LIM YEE HARNG</t>
  </si>
  <si>
    <t>PGTEFT2475</t>
  </si>
  <si>
    <t>19014665</t>
  </si>
  <si>
    <t>PGTEFT2472</t>
  </si>
  <si>
    <t>KKCN17-IV035</t>
  </si>
  <si>
    <t>PGTEFT2472          KKCN17-IV035</t>
  </si>
  <si>
    <t>19016223</t>
  </si>
  <si>
    <t>JOY CHAN ADVERTISING</t>
  </si>
  <si>
    <t>PGTEFT2451</t>
  </si>
  <si>
    <t>INV64031</t>
  </si>
  <si>
    <t>PGTEFT2451          INV64031</t>
  </si>
  <si>
    <t>19012543</t>
  </si>
  <si>
    <t>PGTEEFT2474</t>
  </si>
  <si>
    <t>INV19526 19527</t>
  </si>
  <si>
    <t>PGTEEFT2474         INV19526 19527</t>
  </si>
  <si>
    <t>19015203</t>
  </si>
  <si>
    <t>PGTEFT2470</t>
  </si>
  <si>
    <t>INV102530424</t>
  </si>
  <si>
    <t>PGTEFT2470          INV102530424</t>
  </si>
  <si>
    <t>206796432</t>
  </si>
  <si>
    <t>20008250717T0052</t>
  </si>
  <si>
    <t>211151868</t>
  </si>
  <si>
    <t>20008250717T0049</t>
  </si>
  <si>
    <t>/ROC/KLMP0018951RES RHB ASSET MANAGEMENT</t>
  </si>
  <si>
    <t>KLMP0018951</t>
  </si>
  <si>
    <t>00687989</t>
  </si>
  <si>
    <t>00687998</t>
  </si>
  <si>
    <t>00687994</t>
  </si>
  <si>
    <t>00687990</t>
  </si>
  <si>
    <t>16614</t>
  </si>
  <si>
    <t>Advance Cash Refund</t>
  </si>
  <si>
    <t>DANNY TAN LEE KEONG</t>
  </si>
  <si>
    <t>/ROC/KLMP0019263RES RHB ASSET MANAGEMENT</t>
  </si>
  <si>
    <t>KLMP0019263</t>
  </si>
  <si>
    <t>110001</t>
  </si>
  <si>
    <t>98993531</t>
  </si>
  <si>
    <t>98003531</t>
  </si>
  <si>
    <t>00687999</t>
  </si>
  <si>
    <t>00687997</t>
  </si>
  <si>
    <t>00687993</t>
  </si>
  <si>
    <t>00687992</t>
  </si>
  <si>
    <t>00687991</t>
  </si>
  <si>
    <t>206796433</t>
  </si>
  <si>
    <t>20008280717T0223</t>
  </si>
  <si>
    <t>76389222</t>
  </si>
  <si>
    <t>19339713</t>
  </si>
  <si>
    <t>19339597</t>
  </si>
  <si>
    <t>19340179</t>
  </si>
  <si>
    <t>19339903</t>
  </si>
  <si>
    <t>19340550</t>
  </si>
  <si>
    <t>00688001</t>
  </si>
  <si>
    <t>117223710249361</t>
  </si>
  <si>
    <t>FL170808886478</t>
  </si>
  <si>
    <t>OUTWARD ACH</t>
  </si>
  <si>
    <t>BANDAR UTAMA CITY SD</t>
  </si>
  <si>
    <t>00688008</t>
  </si>
  <si>
    <t>00688007</t>
  </si>
  <si>
    <t>00688006</t>
  </si>
  <si>
    <t>00687995</t>
  </si>
  <si>
    <t>2017081003375273</t>
  </si>
  <si>
    <t>2017081003375227</t>
  </si>
  <si>
    <t>19647824</t>
  </si>
  <si>
    <t>GUIDE FEE FOR JUL TOH KIM HOCK</t>
  </si>
  <si>
    <t>PGTEFT2522</t>
  </si>
  <si>
    <t>INV112T INV113T</t>
  </si>
  <si>
    <t>19646709</t>
  </si>
  <si>
    <t>PGTEFT2534</t>
  </si>
  <si>
    <t>INV17-040 17-033</t>
  </si>
  <si>
    <t>PGTEFT2534          INV17-040 17-033</t>
  </si>
  <si>
    <t>19646192</t>
  </si>
  <si>
    <t>YTL COMMUNICATIONS S</t>
  </si>
  <si>
    <t>PGTEFT2526</t>
  </si>
  <si>
    <t>813783509 813783531</t>
  </si>
  <si>
    <t>PGTEFT2526          813783509 813783531</t>
  </si>
  <si>
    <t>2017081003375213</t>
  </si>
  <si>
    <t>2017081003375261</t>
  </si>
  <si>
    <t>19648915</t>
  </si>
  <si>
    <t>STUDIO HOWARD</t>
  </si>
  <si>
    <t>PGTEFT2517</t>
  </si>
  <si>
    <t>SHB00600</t>
  </si>
  <si>
    <t>PGTEFT2517          SHB00600</t>
  </si>
  <si>
    <t>19646435</t>
  </si>
  <si>
    <t>PGTEFT2525</t>
  </si>
  <si>
    <t>IV-130277</t>
  </si>
  <si>
    <t>PGTEFT2525          IV-130277</t>
  </si>
  <si>
    <t>19647596</t>
  </si>
  <si>
    <t>PGTEFT2523</t>
  </si>
  <si>
    <t>IV-0023348</t>
  </si>
  <si>
    <t>PGTEFT2523          IV-0023348</t>
  </si>
  <si>
    <t>19649145</t>
  </si>
  <si>
    <t>PGTEFT2516</t>
  </si>
  <si>
    <t>INV151508</t>
  </si>
  <si>
    <t>PGTEFT2516          INV151508</t>
  </si>
  <si>
    <t>19651401</t>
  </si>
  <si>
    <t>MARKETSOURCE SDN BHD</t>
  </si>
  <si>
    <t>PGTEFT2512</t>
  </si>
  <si>
    <t>OTH1701-004</t>
  </si>
  <si>
    <t>PGTEFT2512          OTH1701-004</t>
  </si>
  <si>
    <t>19649922</t>
  </si>
  <si>
    <t>PGTEFT2514</t>
  </si>
  <si>
    <t>INV278994</t>
  </si>
  <si>
    <t>PGTEFT2514          INV278994</t>
  </si>
  <si>
    <t>19652044</t>
  </si>
  <si>
    <t>PGTEFT2508</t>
  </si>
  <si>
    <t>INV19528 19529</t>
  </si>
  <si>
    <t>PGTEFT2508          INV19528 19529</t>
  </si>
  <si>
    <t>19651745</t>
  </si>
  <si>
    <t>PGTEFT2510</t>
  </si>
  <si>
    <t>INV327</t>
  </si>
  <si>
    <t>PGTEFT2510          INV327</t>
  </si>
  <si>
    <t>19649655</t>
  </si>
  <si>
    <t>PGTEFT2515</t>
  </si>
  <si>
    <t>19651579</t>
  </si>
  <si>
    <t>PGTEFT2511</t>
  </si>
  <si>
    <t>INV9447-17</t>
  </si>
  <si>
    <t>PGTEFT2511          INV9447-17</t>
  </si>
  <si>
    <t>19651884</t>
  </si>
  <si>
    <t>PGTEFT2509</t>
  </si>
  <si>
    <t>PREMIUM</t>
  </si>
  <si>
    <t>PGTEFT2509          PREMIUM</t>
  </si>
  <si>
    <t>19650338</t>
  </si>
  <si>
    <t>LED FOR RAJA UDA &amp; A PERFORMANCE PLUS MA</t>
  </si>
  <si>
    <t>PGTEFT2513</t>
  </si>
  <si>
    <t>PPM17-08-02 03</t>
  </si>
  <si>
    <t>19652277</t>
  </si>
  <si>
    <t>JATA TOURISM EXPO LEMBAGA PENGGALAKAN</t>
  </si>
  <si>
    <t>PGTEFT2507</t>
  </si>
  <si>
    <t>PARTICIPATE FEE</t>
  </si>
  <si>
    <t>19652492</t>
  </si>
  <si>
    <t>PGTEFT2506</t>
  </si>
  <si>
    <t>KKCN17-IV039</t>
  </si>
  <si>
    <t>PGTEFT2506          KKCN17-IV039</t>
  </si>
  <si>
    <t>19652699</t>
  </si>
  <si>
    <t>PGTEFT2504</t>
  </si>
  <si>
    <t>HG-1147-06-17</t>
  </si>
  <si>
    <t>PGTEFT2504          HG-1147-06-17</t>
  </si>
  <si>
    <t>19652873</t>
  </si>
  <si>
    <t>PGTEFT2502</t>
  </si>
  <si>
    <t>INV301269285</t>
  </si>
  <si>
    <t>PGTEFT2502          INV301269285</t>
  </si>
  <si>
    <t>19652796</t>
  </si>
  <si>
    <t>PGTEFT2503</t>
  </si>
  <si>
    <t>HPF0000262</t>
  </si>
  <si>
    <t>PGTEFT2503          HPF0000262</t>
  </si>
  <si>
    <t>19653056</t>
  </si>
  <si>
    <t>PGTEFT2500</t>
  </si>
  <si>
    <t>INV734578</t>
  </si>
  <si>
    <t>PGTEFT2500          INV734578</t>
  </si>
  <si>
    <t>19653197</t>
  </si>
  <si>
    <t>PGTEFT2498</t>
  </si>
  <si>
    <t>00007816</t>
  </si>
  <si>
    <t>PGTEFT2498          00007816</t>
  </si>
  <si>
    <t>19652636</t>
  </si>
  <si>
    <t>JAYKODI RESOURCES</t>
  </si>
  <si>
    <t>PGTEFT2505</t>
  </si>
  <si>
    <t>19653130</t>
  </si>
  <si>
    <t>PGTEFT2499</t>
  </si>
  <si>
    <t>19652973</t>
  </si>
  <si>
    <t>EMANON SDN BHD</t>
  </si>
  <si>
    <t>PGTEFT2501</t>
  </si>
  <si>
    <t>INV170000736</t>
  </si>
  <si>
    <t>PGTEFT2501          INV170000736</t>
  </si>
  <si>
    <t>19653352</t>
  </si>
  <si>
    <t>PAYROLL JUL CORPORATENET ADVISO</t>
  </si>
  <si>
    <t>PGTEFT2497</t>
  </si>
  <si>
    <t>CA17-0106</t>
  </si>
  <si>
    <t>17003526</t>
  </si>
  <si>
    <t>PDC/PV17003526 DANA OPERASI FASA KE</t>
  </si>
  <si>
    <t>PDC/PV17003526 DANA</t>
  </si>
  <si>
    <t>Transfer from CIMB</t>
  </si>
  <si>
    <t>00688005</t>
  </si>
  <si>
    <t>00688000</t>
  </si>
  <si>
    <t>00688003</t>
  </si>
  <si>
    <t>00688002</t>
  </si>
  <si>
    <t>17003525</t>
  </si>
  <si>
    <t>PDC/PV17003525 DANA OPERASI FASA KE</t>
  </si>
  <si>
    <t>PDC/PV17003525 DANA</t>
  </si>
  <si>
    <t>ATM OPEN TRANSFER FROM SA</t>
  </si>
  <si>
    <t>FT564548</t>
  </si>
  <si>
    <t>19447837</t>
  </si>
  <si>
    <t>BEH HEE LAI</t>
  </si>
  <si>
    <t>PGTEFT2490</t>
  </si>
  <si>
    <t>MB001</t>
  </si>
  <si>
    <t>PGTEFT2490          MB001</t>
  </si>
  <si>
    <t>19447948</t>
  </si>
  <si>
    <t>AB PRINTWORKS</t>
  </si>
  <si>
    <t>PGTEFT2489</t>
  </si>
  <si>
    <t>000313-0717</t>
  </si>
  <si>
    <t>PGTEFT2489          000313-0717</t>
  </si>
  <si>
    <t>19447568</t>
  </si>
  <si>
    <t>KOLEJ UNIVERSITI TUN</t>
  </si>
  <si>
    <t>PGTEFT2492</t>
  </si>
  <si>
    <t>PGTEFT2492          PCET</t>
  </si>
  <si>
    <t>19447212</t>
  </si>
  <si>
    <t>PGTEFT2494</t>
  </si>
  <si>
    <t>DISTRIBUTION FEE</t>
  </si>
  <si>
    <t>PGTEFT2494          DISTRIBUTION FEE</t>
  </si>
  <si>
    <t>19446829</t>
  </si>
  <si>
    <t>AUS DELEGATES &amp; KL T YOON PAULINE</t>
  </si>
  <si>
    <t>PGTEFT2496</t>
  </si>
  <si>
    <t>19447387</t>
  </si>
  <si>
    <t>LOUISE GOSS-CUSTARD</t>
  </si>
  <si>
    <t>PGTEFT2493</t>
  </si>
  <si>
    <t>PGT003 PGT004</t>
  </si>
  <si>
    <t>PGTEFT2493          PGT003 PGT004</t>
  </si>
  <si>
    <t>19447052</t>
  </si>
  <si>
    <t>THE SPRING MANAGEMEN</t>
  </si>
  <si>
    <t>PGTEFT2495</t>
  </si>
  <si>
    <t>INV4704 4710</t>
  </si>
  <si>
    <t>PGTEFT2495          INV4704 4710</t>
  </si>
  <si>
    <t>19447648</t>
  </si>
  <si>
    <t>SQ FUKOKA FAM JOANNE KHOO ROU YAN</t>
  </si>
  <si>
    <t>PGTEFT2491</t>
  </si>
  <si>
    <t>211151306</t>
  </si>
  <si>
    <t>20008040817T0203</t>
  </si>
  <si>
    <t>Period : 01-09-2017 - 07-09-2017</t>
  </si>
  <si>
    <t>Opening Available Balance : 370519.39</t>
  </si>
  <si>
    <t>Closing Available Balance : 301963.53</t>
  </si>
  <si>
    <t>00688014</t>
  </si>
  <si>
    <t>/ROC/KELULUSAN KHAS BENDAHARI NEGERI PUL</t>
  </si>
  <si>
    <t>KELULUSAN KHAS PENGG</t>
  </si>
  <si>
    <t>R</t>
  </si>
  <si>
    <t>BENDAHARI NEGERI PUL</t>
  </si>
  <si>
    <t>22232826</t>
  </si>
  <si>
    <t>224398059</t>
  </si>
  <si>
    <t>20008150917T0194</t>
  </si>
  <si>
    <t>PV 1709070 I</t>
  </si>
  <si>
    <t>PV 1709070 IBG</t>
  </si>
  <si>
    <t>PENANG MEDICAL COLLE</t>
  </si>
  <si>
    <t>205457841</t>
  </si>
  <si>
    <t>20008150917T0128    /CHINAPAY/</t>
  </si>
  <si>
    <t>/ROC/KLMP0021282RES RHB ASSET MANAGEMENT</t>
  </si>
  <si>
    <t>KLMP0021282</t>
  </si>
  <si>
    <t>514090001876</t>
  </si>
  <si>
    <t>AUD1500@3.2709 by order of THE PAPERWORK</t>
  </si>
  <si>
    <t>00688015</t>
  </si>
  <si>
    <t>20749058</t>
  </si>
  <si>
    <t>PGTEFT2606</t>
  </si>
  <si>
    <t>PGTEFT2606          813783509 813783531</t>
  </si>
  <si>
    <t>2017091310939195</t>
  </si>
  <si>
    <t>20749111</t>
  </si>
  <si>
    <t>WEB ASP SDN BHD</t>
  </si>
  <si>
    <t>PGTEFT2605</t>
  </si>
  <si>
    <t>INV20044237</t>
  </si>
  <si>
    <t>PGTEFT2605          INV20044237</t>
  </si>
  <si>
    <t>2017091310939191</t>
  </si>
  <si>
    <t>20750162</t>
  </si>
  <si>
    <t>PCET - BATIK UNIFORM PENANG BATIK FACTOR</t>
  </si>
  <si>
    <t>PGTEFT2594</t>
  </si>
  <si>
    <t>INVT05769</t>
  </si>
  <si>
    <t>20749999</t>
  </si>
  <si>
    <t>INV283058</t>
  </si>
  <si>
    <t>PGTEFT2496          INV283058</t>
  </si>
  <si>
    <t>20749346</t>
  </si>
  <si>
    <t>PGTEFT2600</t>
  </si>
  <si>
    <t>INV07234068 7234069</t>
  </si>
  <si>
    <t>PGTEFT2600          INV07234068 7234069</t>
  </si>
  <si>
    <t>20749822</t>
  </si>
  <si>
    <t>SUPERSONIC ONE STOP</t>
  </si>
  <si>
    <t>PGTEFT2598</t>
  </si>
  <si>
    <t>INV192476 192714</t>
  </si>
  <si>
    <t>PGTEFT2598          INV192476 192714</t>
  </si>
  <si>
    <t>2017091310938835</t>
  </si>
  <si>
    <t>20750258</t>
  </si>
  <si>
    <t>PGTEFT2593</t>
  </si>
  <si>
    <t>INV337</t>
  </si>
  <si>
    <t>PGTEFT2593          INV337</t>
  </si>
  <si>
    <t>20750065</t>
  </si>
  <si>
    <t>PGTEFT2595</t>
  </si>
  <si>
    <t>INV20170825</t>
  </si>
  <si>
    <t>PGTEFT2595          INV20170825</t>
  </si>
  <si>
    <t>20749887</t>
  </si>
  <si>
    <t>KANESAN A/L RAMOO</t>
  </si>
  <si>
    <t>PGTEFT2597</t>
  </si>
  <si>
    <t>NEWSPAPER</t>
  </si>
  <si>
    <t>PGTEFT2597          NEWSPAPER</t>
  </si>
  <si>
    <t>2017091310938824</t>
  </si>
  <si>
    <t>20749504</t>
  </si>
  <si>
    <t>GUIDE FEE FOR AUG&amp;SE TOH KIM HOCK</t>
  </si>
  <si>
    <t>PGTEFT2599</t>
  </si>
  <si>
    <t>INV116T 117T</t>
  </si>
  <si>
    <t>20750309</t>
  </si>
  <si>
    <t>RO WATER-60 DRUMS OMEGA SPARKLES SDN</t>
  </si>
  <si>
    <t>PGTEFT2592</t>
  </si>
  <si>
    <t>I-44201</t>
  </si>
  <si>
    <t>20750360</t>
  </si>
  <si>
    <t>SG TRIP OOI CHOK YAN</t>
  </si>
  <si>
    <t>PGTEFT2591</t>
  </si>
  <si>
    <t>CLAIMS AND JATA ADV</t>
  </si>
  <si>
    <t>20750405</t>
  </si>
  <si>
    <t>HCMC &amp; YES2 MEAL ALL MARY ANN HARRIS</t>
  </si>
  <si>
    <t>PGTEFT2590</t>
  </si>
  <si>
    <t>20750908</t>
  </si>
  <si>
    <t>CREATIVE PEOPLE SDN</t>
  </si>
  <si>
    <t>PGTEFT2584</t>
  </si>
  <si>
    <t>INV0335</t>
  </si>
  <si>
    <t>PGTEFT2584          INV0335</t>
  </si>
  <si>
    <t>20750936</t>
  </si>
  <si>
    <t>BRAND-NEW BANNERSHOP</t>
  </si>
  <si>
    <t>PGTEFT2583</t>
  </si>
  <si>
    <t>INV00044075</t>
  </si>
  <si>
    <t>PGTEFT2583          INV00044075</t>
  </si>
  <si>
    <t>20750679</t>
  </si>
  <si>
    <t>MEDIA UNO SDN BHD</t>
  </si>
  <si>
    <t>PGTEFT2588</t>
  </si>
  <si>
    <t>INV2017-037</t>
  </si>
  <si>
    <t>PGTEFT2588          INV2017-037</t>
  </si>
  <si>
    <t>20750782</t>
  </si>
  <si>
    <t>SUBSIDY-OUTOF STATE KDU UNIVERSITY COLL</t>
  </si>
  <si>
    <t>PGTEFT2586</t>
  </si>
  <si>
    <t>20750725</t>
  </si>
  <si>
    <t>PGTEFT2587</t>
  </si>
  <si>
    <t>INV19534 19535 19537</t>
  </si>
  <si>
    <t>PGTEFT2587          INV19534 19535 19537</t>
  </si>
  <si>
    <t>20750826</t>
  </si>
  <si>
    <t>JATA TOURISM EXPO DANNY TAN LEE KEONG</t>
  </si>
  <si>
    <t>PGTEFT2585</t>
  </si>
  <si>
    <t>20750445</t>
  </si>
  <si>
    <t>LUNCH HOSTING ON 30/ JOANNE KHOO ROU YAN</t>
  </si>
  <si>
    <t>PGTEFT2589</t>
  </si>
  <si>
    <t>24507</t>
  </si>
  <si>
    <t>SpringTour Famil BL</t>
  </si>
  <si>
    <t>00688016</t>
  </si>
  <si>
    <t>00688028</t>
  </si>
  <si>
    <t>00688027</t>
  </si>
  <si>
    <t>00688017</t>
  </si>
  <si>
    <t>/ROC/KLMP0021078RES RHB ASSET MANAGEMENT</t>
  </si>
  <si>
    <t>KLMP0021078</t>
  </si>
  <si>
    <t>224324756</t>
  </si>
  <si>
    <t>20008080917T0132</t>
  </si>
  <si>
    <t>00000738</t>
  </si>
  <si>
    <t>REVERSAL CHARGES FSG ISSUE 300817</t>
  </si>
  <si>
    <t>I-FUNDS TR FROM CA</t>
  </si>
  <si>
    <t>JWL Event parkson</t>
  </si>
  <si>
    <t>Payment to PGT</t>
  </si>
  <si>
    <t>ANG WEI LIANG</t>
  </si>
  <si>
    <t>PGTEFT2608</t>
  </si>
  <si>
    <t>PGTEFT2608          PTPTN LOAN</t>
  </si>
  <si>
    <t>GUIDE FEE FOR SEPT TOH KIM HOCK</t>
  </si>
  <si>
    <t>PGTEFT2631</t>
  </si>
  <si>
    <t>INV119T</t>
  </si>
  <si>
    <t>TEOH HUOOI HONG</t>
  </si>
  <si>
    <t>PGTEFT2629</t>
  </si>
  <si>
    <t>C138-0186</t>
  </si>
  <si>
    <t>PGTEFT2629          C138-0186</t>
  </si>
  <si>
    <t>PTE - SABAH YOON PAULINE</t>
  </si>
  <si>
    <t>PGTEFT2635</t>
  </si>
  <si>
    <t>THE PHOENIX PRESS SD</t>
  </si>
  <si>
    <t>PGTEFT2633</t>
  </si>
  <si>
    <t>INV17090113</t>
  </si>
  <si>
    <t>PGTEFT2633          INV17090113</t>
  </si>
  <si>
    <t>PGTEFT2630</t>
  </si>
  <si>
    <t>INV001121</t>
  </si>
  <si>
    <t>PGTEFT2630          INV001121</t>
  </si>
  <si>
    <t>PGTEFT2634</t>
  </si>
  <si>
    <t>7244905-908</t>
  </si>
  <si>
    <t>PGTEFT2634          7244905-908</t>
  </si>
  <si>
    <t>PGTEFT2628</t>
  </si>
  <si>
    <t>PGTEFT2628          AUG2017</t>
  </si>
  <si>
    <t>PGTEFT2636</t>
  </si>
  <si>
    <t>PGTEFT2636          14SEPT2017</t>
  </si>
  <si>
    <t>ITE HCM &amp; KPLJ WEDDI THOY SIEW PING</t>
  </si>
  <si>
    <t>PGTEFT2632</t>
  </si>
  <si>
    <t>PGTEFT2619</t>
  </si>
  <si>
    <t>PGT006</t>
  </si>
  <si>
    <t>PGTEFT2619          PGT006</t>
  </si>
  <si>
    <t>PGTEFT2621</t>
  </si>
  <si>
    <t>GL1335560</t>
  </si>
  <si>
    <t>PGTEFT2621          GL1335560</t>
  </si>
  <si>
    <t>MEETING WITH MOTAC 1 NG CHUN HOW</t>
  </si>
  <si>
    <t>PGTEFT2625</t>
  </si>
  <si>
    <t>PGTEFT2623</t>
  </si>
  <si>
    <t>OTH1708-010</t>
  </si>
  <si>
    <t>PGTEFT2623          OTH1708-010</t>
  </si>
  <si>
    <t>FIB LOGO RISING ONE MEDIA SD</t>
  </si>
  <si>
    <t>PGTEFT2627</t>
  </si>
  <si>
    <t>INN14286</t>
  </si>
  <si>
    <t>PGTEFT2618</t>
  </si>
  <si>
    <t>INV19538</t>
  </si>
  <si>
    <t>PGTEFT2618          INV19538</t>
  </si>
  <si>
    <t>METRO GREEN ADVENTUR</t>
  </si>
  <si>
    <t>PGTEFT2624</t>
  </si>
  <si>
    <t>20170828-001</t>
  </si>
  <si>
    <t>PGTEFT2624          20170828-001</t>
  </si>
  <si>
    <t>MAKAMEWAH SDN BHD</t>
  </si>
  <si>
    <t>PGTEFT2622</t>
  </si>
  <si>
    <t>INVMC0048</t>
  </si>
  <si>
    <t>PGTEFT2622          INVMC0048</t>
  </si>
  <si>
    <t>PTE SABAH LIM YEE HARNG</t>
  </si>
  <si>
    <t>PGTEFT2620</t>
  </si>
  <si>
    <t>PERFORMANCE PLUS MA</t>
  </si>
  <si>
    <t>PGTEFT2626</t>
  </si>
  <si>
    <t>PPM17-09-03 17-09-04</t>
  </si>
  <si>
    <t>PGTEFT2611</t>
  </si>
  <si>
    <t>AERIAL FILM DM3</t>
  </si>
  <si>
    <t>PGTEFT2611          AERIAL FILM DM3</t>
  </si>
  <si>
    <t>PGTEFT2617</t>
  </si>
  <si>
    <t>INV00525</t>
  </si>
  <si>
    <t>PGTEFT2617          INV00525</t>
  </si>
  <si>
    <t>PGTEFT2613</t>
  </si>
  <si>
    <t>INV735938</t>
  </si>
  <si>
    <t>PGTEFT2613          INV735938</t>
  </si>
  <si>
    <t>BULB REPLACEMENT AIR NOOR AZMAN BIN AHMA</t>
  </si>
  <si>
    <t>PGTEFT2609</t>
  </si>
  <si>
    <t>AB001</t>
  </si>
  <si>
    <t>PGTEFT2615</t>
  </si>
  <si>
    <t>INV301280316</t>
  </si>
  <si>
    <t>PGTEFT2615          INV301280316</t>
  </si>
  <si>
    <t>CONVEP MOBILOGY SDN</t>
  </si>
  <si>
    <t>PGTEFT2610</t>
  </si>
  <si>
    <t>INV333600</t>
  </si>
  <si>
    <t>PGTEFT2610          INV333600</t>
  </si>
  <si>
    <t>KY TRADING</t>
  </si>
  <si>
    <t>PGTEFT2616</t>
  </si>
  <si>
    <t>INV00359</t>
  </si>
  <si>
    <t>PGTEFT2616          INV00359</t>
  </si>
  <si>
    <t>PGTEFT2612</t>
  </si>
  <si>
    <t>2017-00046</t>
  </si>
  <si>
    <t>PGTEFT2612          2017-00046</t>
  </si>
  <si>
    <t>RENTAL OF HOHO 26/8 ELANG WAH SDN. BHD.</t>
  </si>
  <si>
    <t>PGTEFT2614</t>
  </si>
  <si>
    <t>EW-P-CHARTER-0823-17</t>
  </si>
  <si>
    <t>/ROC/KLMP0021871RES RHB ASSET MANAGEMENT</t>
  </si>
  <si>
    <t>KLMP0021871</t>
  </si>
  <si>
    <t>I-PYMT TO CCARD</t>
  </si>
  <si>
    <t>OOI CHOK YAN</t>
  </si>
  <si>
    <t>PGTEFT2607</t>
  </si>
  <si>
    <t>PGT CORPORATE CARD</t>
  </si>
  <si>
    <t>20008250917T0119</t>
  </si>
  <si>
    <t>flight refund</t>
  </si>
  <si>
    <t>KCH-KUL</t>
  </si>
  <si>
    <t>YOON PAULINE</t>
  </si>
  <si>
    <t>00722210917T5315                       M</t>
  </si>
  <si>
    <t>92463</t>
  </si>
  <si>
    <t>21299508</t>
  </si>
  <si>
    <t>98996189</t>
  </si>
  <si>
    <t>98006189</t>
  </si>
  <si>
    <t>21294750</t>
  </si>
  <si>
    <t>21295518</t>
  </si>
  <si>
    <t>21293993</t>
  </si>
  <si>
    <t>21294228</t>
  </si>
  <si>
    <t>21294820</t>
  </si>
  <si>
    <t>21294152</t>
  </si>
  <si>
    <t>21295578</t>
  </si>
  <si>
    <t>AUG2017</t>
  </si>
  <si>
    <t>21293878</t>
  </si>
  <si>
    <t>14SEPT2017</t>
  </si>
  <si>
    <t>21294270</t>
  </si>
  <si>
    <t>21296851</t>
  </si>
  <si>
    <t>21296448</t>
  </si>
  <si>
    <t>21295792</t>
  </si>
  <si>
    <t>21296098</t>
  </si>
  <si>
    <t>21295633</t>
  </si>
  <si>
    <t>21296971</t>
  </si>
  <si>
    <t>21296034</t>
  </si>
  <si>
    <t>21296291</t>
  </si>
  <si>
    <t>21296759</t>
  </si>
  <si>
    <t>21295705</t>
  </si>
  <si>
    <t>21298991</t>
  </si>
  <si>
    <t>21297770</t>
  </si>
  <si>
    <t>21298877</t>
  </si>
  <si>
    <t>21306430</t>
  </si>
  <si>
    <t>21298403</t>
  </si>
  <si>
    <t>21299068</t>
  </si>
  <si>
    <t>21298304</t>
  </si>
  <si>
    <t>21298960</t>
  </si>
  <si>
    <t>21298729</t>
  </si>
  <si>
    <t>201709270021207874</t>
  </si>
  <si>
    <t>09075654</t>
  </si>
  <si>
    <t>00688032</t>
  </si>
  <si>
    <t>67586927</t>
  </si>
  <si>
    <t>241522946</t>
  </si>
  <si>
    <t>45915</t>
  </si>
  <si>
    <t>71706827</t>
  </si>
  <si>
    <t>282613334</t>
  </si>
  <si>
    <t>Period : 29-09-2017 - 05-10-2017</t>
  </si>
  <si>
    <t>Opening Available Balance : 1339536.29</t>
  </si>
  <si>
    <t>Closing Available Balance : 514760.56</t>
  </si>
  <si>
    <t>REFUND</t>
  </si>
  <si>
    <t>GST REFUND</t>
  </si>
  <si>
    <t>21842722</t>
  </si>
  <si>
    <t>ITB ASIA &amp; PTE YOON PAULINE</t>
  </si>
  <si>
    <t>PGTEFT2668</t>
  </si>
  <si>
    <t>00688035</t>
  </si>
  <si>
    <t>43811035</t>
  </si>
  <si>
    <t>21725963</t>
  </si>
  <si>
    <t>TEOH LAY PHENG</t>
  </si>
  <si>
    <t>PGTEFT2666</t>
  </si>
  <si>
    <t>PGTEFT2666          WELCOMING RECEPTION</t>
  </si>
  <si>
    <t>21732575</t>
  </si>
  <si>
    <t>PGTEFT2662</t>
  </si>
  <si>
    <t>IV-131360</t>
  </si>
  <si>
    <t>PGTEFT2662          IV-131360</t>
  </si>
  <si>
    <t>21726647</t>
  </si>
  <si>
    <t>INV120T,121T TOH KIM HOCK</t>
  </si>
  <si>
    <t>PGTEFT2664</t>
  </si>
  <si>
    <t>GUIDE FEE FOR SEPT</t>
  </si>
  <si>
    <t>2017101017596854</t>
  </si>
  <si>
    <t>21726689</t>
  </si>
  <si>
    <t>PGTEFT2663</t>
  </si>
  <si>
    <t>INV07249085</t>
  </si>
  <si>
    <t>PGTEFT2663          INV07249085</t>
  </si>
  <si>
    <t>21732659</t>
  </si>
  <si>
    <t>PGTEFT2661</t>
  </si>
  <si>
    <t>LFSS SEPT</t>
  </si>
  <si>
    <t>PGTEFT2661          LFSS SEPT</t>
  </si>
  <si>
    <t>21726130</t>
  </si>
  <si>
    <t>MEETING AT MOTAC THOY SIEW PING</t>
  </si>
  <si>
    <t>PGTEFT2665</t>
  </si>
  <si>
    <t>2017101017596792</t>
  </si>
  <si>
    <t>21725557</t>
  </si>
  <si>
    <t>ITE HCM YOON PAULINE</t>
  </si>
  <si>
    <t>PGTEFT2667</t>
  </si>
  <si>
    <t>21733217</t>
  </si>
  <si>
    <t>PGTEFT2652</t>
  </si>
  <si>
    <t>20170925-001</t>
  </si>
  <si>
    <t>PGTEFT2652          20170925-001</t>
  </si>
  <si>
    <t>21733276</t>
  </si>
  <si>
    <t>PTE MEDIA RELEASE MOHAMMAD ASHRAF BIN</t>
  </si>
  <si>
    <t>PGTEFT2657</t>
  </si>
  <si>
    <t>TRANSLATION</t>
  </si>
  <si>
    <t>21733110</t>
  </si>
  <si>
    <t>ITE &amp; PTE SABAH OOI CHOK YAN</t>
  </si>
  <si>
    <t>PGTEFT2654</t>
  </si>
  <si>
    <t>21732900</t>
  </si>
  <si>
    <t>STERLING INSURANCE B</t>
  </si>
  <si>
    <t>PGTEFT2656</t>
  </si>
  <si>
    <t>INSURANCE</t>
  </si>
  <si>
    <t>PGTEFT2656          INSURANCE</t>
  </si>
  <si>
    <t>2017101017595605</t>
  </si>
  <si>
    <t>21733391</t>
  </si>
  <si>
    <t>SALES-JUNE16, JUN'17 MOUNT MIRIAM CANCER</t>
  </si>
  <si>
    <t>PGTEFT2650</t>
  </si>
  <si>
    <t>INV10004157</t>
  </si>
  <si>
    <t>21733161</t>
  </si>
  <si>
    <t>NORIZEIGHT VENTURES</t>
  </si>
  <si>
    <t>PGTEFT2653</t>
  </si>
  <si>
    <t>NV2285</t>
  </si>
  <si>
    <t>PGTEFT2653          NV2285</t>
  </si>
  <si>
    <t>21733429</t>
  </si>
  <si>
    <t>PGTEFT2649</t>
  </si>
  <si>
    <t>INV19542</t>
  </si>
  <si>
    <t>PGTEFT2649          INV19542</t>
  </si>
  <si>
    <t>2017101017595559</t>
  </si>
  <si>
    <t>21733042</t>
  </si>
  <si>
    <t>SECRETARIAL FEE-JUL- PDC PREMIER HOLDING</t>
  </si>
  <si>
    <t>PGTEFT2655</t>
  </si>
  <si>
    <t>INV00000562</t>
  </si>
  <si>
    <t>21734155</t>
  </si>
  <si>
    <t>PAYROLL SEPT'17 CORPORATENET ADVISO</t>
  </si>
  <si>
    <t>PGTEFT2640</t>
  </si>
  <si>
    <t>CA17-0135</t>
  </si>
  <si>
    <t>21734236</t>
  </si>
  <si>
    <t>PGTEFT2639</t>
  </si>
  <si>
    <t>TE02 2018</t>
  </si>
  <si>
    <t>PGTEFT2639          TE02 2018</t>
  </si>
  <si>
    <t>21733837</t>
  </si>
  <si>
    <t>PGTEFT2642</t>
  </si>
  <si>
    <t>ACC 316057</t>
  </si>
  <si>
    <t>PGTEFT2642          ACC 316057</t>
  </si>
  <si>
    <t>21733476</t>
  </si>
  <si>
    <t>PGTEFT2648</t>
  </si>
  <si>
    <t>INV20170923</t>
  </si>
  <si>
    <t>PGTEFT2648          INV20170923</t>
  </si>
  <si>
    <t>21733702</t>
  </si>
  <si>
    <t>HOP ON MEDIA SDN BHD</t>
  </si>
  <si>
    <t>PGTEFT2644</t>
  </si>
  <si>
    <t>HOHO BUS ADS</t>
  </si>
  <si>
    <t>PGTEFT2644          HOHO BUS ADS</t>
  </si>
  <si>
    <t>21733516</t>
  </si>
  <si>
    <t>PGTEFT2647</t>
  </si>
  <si>
    <t>KKCN17-IV0046</t>
  </si>
  <si>
    <t>PGTEFT2647          KKCN17-IV0046</t>
  </si>
  <si>
    <t>21734097</t>
  </si>
  <si>
    <t>ELITE TRANSLATION AS</t>
  </si>
  <si>
    <t>PGTEFT2641</t>
  </si>
  <si>
    <t>S1709990</t>
  </si>
  <si>
    <t>PGTEFT2641          S1709990</t>
  </si>
  <si>
    <t>21733558</t>
  </si>
  <si>
    <t>PGTEFT2646</t>
  </si>
  <si>
    <t>IV0007</t>
  </si>
  <si>
    <t>PGTEFT2646          IV0007</t>
  </si>
  <si>
    <t>21733755</t>
  </si>
  <si>
    <t>PGTEFT2643</t>
  </si>
  <si>
    <t>ITF REFUND</t>
  </si>
  <si>
    <t>PGTEFT2643          ITF REFUND</t>
  </si>
  <si>
    <t>21733609</t>
  </si>
  <si>
    <t>PGTEFT2645</t>
  </si>
  <si>
    <t>CLEANING SERVICES</t>
  </si>
  <si>
    <t>PGTEFT2645          CLEANING SERVICES</t>
  </si>
  <si>
    <t>00688044</t>
  </si>
  <si>
    <t>00688040</t>
  </si>
  <si>
    <t>00688034</t>
  </si>
  <si>
    <t>00688041</t>
  </si>
  <si>
    <t>00688039</t>
  </si>
  <si>
    <t>00688036</t>
  </si>
  <si>
    <t>241505594</t>
  </si>
  <si>
    <t>20008261017T0076</t>
  </si>
  <si>
    <t>241505222</t>
  </si>
  <si>
    <t>20008261017T0055</t>
  </si>
  <si>
    <t>00688051</t>
  </si>
  <si>
    <t>05060533</t>
  </si>
  <si>
    <t>84939027</t>
  </si>
  <si>
    <t>MBB849390</t>
  </si>
  <si>
    <t>/ROC/KLMP0022893RES RHB ASSET MANAGEMENT</t>
  </si>
  <si>
    <t>KLMP0022893</t>
  </si>
  <si>
    <t>282711761</t>
  </si>
  <si>
    <t>00722241017T5773                       P</t>
  </si>
  <si>
    <t>282710672</t>
  </si>
  <si>
    <t>00722241017T5483                       M</t>
  </si>
  <si>
    <t>22138994</t>
  </si>
  <si>
    <t>INV122T 123T TOH KIM HOCK</t>
  </si>
  <si>
    <t>PGTEFT2706</t>
  </si>
  <si>
    <t>GUIDE FEE FOR OCT</t>
  </si>
  <si>
    <t>22139003</t>
  </si>
  <si>
    <t>PGTEFT2705</t>
  </si>
  <si>
    <t>17080286</t>
  </si>
  <si>
    <t>PGTEFT2705          17080286</t>
  </si>
  <si>
    <t>22138965</t>
  </si>
  <si>
    <t>SALES-SEPT'17 TROPICAL SPICE GARD</t>
  </si>
  <si>
    <t>PGTEFT2707</t>
  </si>
  <si>
    <t>TSGINV1709927</t>
  </si>
  <si>
    <t>201710230022139097</t>
  </si>
  <si>
    <t>PGTEFT2700</t>
  </si>
  <si>
    <t>CREDIT CARD FOR OCT</t>
  </si>
  <si>
    <t>22139180</t>
  </si>
  <si>
    <t>TIM ROXBORGH &amp; ROCKY LIM YEE HARNG</t>
  </si>
  <si>
    <t>PGTEFT2696</t>
  </si>
  <si>
    <t>ADVANCES</t>
  </si>
  <si>
    <t>22139021</t>
  </si>
  <si>
    <t>PGTEFT2704</t>
  </si>
  <si>
    <t>IV-132221</t>
  </si>
  <si>
    <t>PGTEFT2704          IV-132221</t>
  </si>
  <si>
    <t>22139136</t>
  </si>
  <si>
    <t>PARTICIPATION FEE LEMBAGA PENGGALAKAN</t>
  </si>
  <si>
    <t>PGTEFT2698</t>
  </si>
  <si>
    <t>WTM LONDON</t>
  </si>
  <si>
    <t>22139051</t>
  </si>
  <si>
    <t>APEC THOY SIEW PING</t>
  </si>
  <si>
    <t>PGTEFT2702</t>
  </si>
  <si>
    <t>22139202</t>
  </si>
  <si>
    <t>PGTEFT2695</t>
  </si>
  <si>
    <t>20171007</t>
  </si>
  <si>
    <t>PGTEFT2695          20171007</t>
  </si>
  <si>
    <t>22139035</t>
  </si>
  <si>
    <t>PGTEFT2703</t>
  </si>
  <si>
    <t>PGTEFT2703          ACC233560</t>
  </si>
  <si>
    <t>22139152</t>
  </si>
  <si>
    <t>PGTEFT2697</t>
  </si>
  <si>
    <t>INV19543 19544</t>
  </si>
  <si>
    <t>PGTEFT2697          INV19543 19544</t>
  </si>
  <si>
    <t>22139072</t>
  </si>
  <si>
    <t>SE VENA NETWORKS SDN</t>
  </si>
  <si>
    <t>PGTEFT2701</t>
  </si>
  <si>
    <t>SN-NC-17-0158 0361</t>
  </si>
  <si>
    <t>PGTEFT2701          SN-NC-17-0158 0361</t>
  </si>
  <si>
    <t>22139112</t>
  </si>
  <si>
    <t>PGTEFT2699</t>
  </si>
  <si>
    <t>INV151690</t>
  </si>
  <si>
    <t>PGTEFT2699          INV151690</t>
  </si>
  <si>
    <t>22139281</t>
  </si>
  <si>
    <t>PGTEFT2692</t>
  </si>
  <si>
    <t>P15357 P15352</t>
  </si>
  <si>
    <t>PGTEFT2692          P15357 P15352</t>
  </si>
  <si>
    <t>22139309</t>
  </si>
  <si>
    <t>ERNST &amp; YOUNG</t>
  </si>
  <si>
    <t>PGTEFT2691</t>
  </si>
  <si>
    <t>MY00200205578</t>
  </si>
  <si>
    <t>PGTEFT2691          MY00200205578</t>
  </si>
  <si>
    <t>22139222</t>
  </si>
  <si>
    <t>PGTEFT2694</t>
  </si>
  <si>
    <t>IV-047</t>
  </si>
  <si>
    <t>PGTEFT2694          IV-047</t>
  </si>
  <si>
    <t>22139238</t>
  </si>
  <si>
    <t>PGTEFT2693</t>
  </si>
  <si>
    <t>INV00530</t>
  </si>
  <si>
    <t>PGTEFT2693          INV00530</t>
  </si>
  <si>
    <t>22139436</t>
  </si>
  <si>
    <t>PGTEFT2685</t>
  </si>
  <si>
    <t>INV3333607</t>
  </si>
  <si>
    <t>PGTEFT2685          INV3333607</t>
  </si>
  <si>
    <t>22139414</t>
  </si>
  <si>
    <t>PGTEFT2689</t>
  </si>
  <si>
    <t>INV00008967</t>
  </si>
  <si>
    <t>PGTEFT2689          INV00008967</t>
  </si>
  <si>
    <t>22139318</t>
  </si>
  <si>
    <t>PGTEFT2690</t>
  </si>
  <si>
    <t>22139452</t>
  </si>
  <si>
    <t>PGTEFT2684</t>
  </si>
  <si>
    <t>DM01-2018</t>
  </si>
  <si>
    <t>PGTEFT2684          DM01-2018</t>
  </si>
  <si>
    <t>22139425</t>
  </si>
  <si>
    <t>PGTEFT2686</t>
  </si>
  <si>
    <t>PGT08 PGT09</t>
  </si>
  <si>
    <t>PGTEFT2686          PGT08 PGT09</t>
  </si>
  <si>
    <t>22139345</t>
  </si>
  <si>
    <t>PRO INV&amp;736835 DISCOVERY OVERLAND</t>
  </si>
  <si>
    <t>APEC</t>
  </si>
  <si>
    <t>982699636</t>
  </si>
  <si>
    <t>01419201017T5135   /REC/BENE TO RECEIVEM</t>
  </si>
  <si>
    <t>241505783</t>
  </si>
  <si>
    <t>20008201017T0016</t>
  </si>
  <si>
    <t>28610</t>
  </si>
  <si>
    <t>refund ooi chok yan</t>
  </si>
  <si>
    <t>Period : 01-12-2017 - 07-12-2017</t>
  </si>
  <si>
    <t>Opening Available Balance : 547978.91</t>
  </si>
  <si>
    <t>Closing Available Balance : 120372.47</t>
  </si>
  <si>
    <t>00688096</t>
  </si>
  <si>
    <t>00688095</t>
  </si>
  <si>
    <t>00688090</t>
  </si>
  <si>
    <t>00688089</t>
  </si>
  <si>
    <t>00688088</t>
  </si>
  <si>
    <t>24493995</t>
  </si>
  <si>
    <t>SATUN LIM YEE HARNG</t>
  </si>
  <si>
    <t>PGTEFT2848</t>
  </si>
  <si>
    <t>24494170</t>
  </si>
  <si>
    <t>PCET-VISIT 6 SCHOOLS MARY ANN HARRIS</t>
  </si>
  <si>
    <t>PGTEFT2847</t>
  </si>
  <si>
    <t>24494324</t>
  </si>
  <si>
    <t>PCET MEETING NG CHUN HOW</t>
  </si>
  <si>
    <t>PGTEFT2844</t>
  </si>
  <si>
    <t>24495587</t>
  </si>
  <si>
    <t>CHEE SENG BROTHERS</t>
  </si>
  <si>
    <t>PGTEFT2842</t>
  </si>
  <si>
    <t>CS1712-0189</t>
  </si>
  <si>
    <t>PGTEFT2842          CS1712-0189</t>
  </si>
  <si>
    <t>24494221</t>
  </si>
  <si>
    <t>TEAM BUILDING&amp;WREATH LIM HOOI LENG</t>
  </si>
  <si>
    <t>PGTEFT2846</t>
  </si>
  <si>
    <t>24493684</t>
  </si>
  <si>
    <t>SATUN,UK FAM,ZHEJIAN YOON PAULINE</t>
  </si>
  <si>
    <t>PGTEFT2850</t>
  </si>
  <si>
    <t>24494525</t>
  </si>
  <si>
    <t>PGTEFT2843</t>
  </si>
  <si>
    <t>MY00200209770</t>
  </si>
  <si>
    <t>PGTEFT2843          MY00200209770</t>
  </si>
  <si>
    <t>24493948</t>
  </si>
  <si>
    <t>MME 2017 THOY SIEW PING</t>
  </si>
  <si>
    <t>PGTEFT2849</t>
  </si>
  <si>
    <t>24494269</t>
  </si>
  <si>
    <t>BELGIAN MEDIA FAM JOANNE KHOO ROU YAN</t>
  </si>
  <si>
    <t>PGTEFT2845</t>
  </si>
  <si>
    <t>24495885</t>
  </si>
  <si>
    <t>XMAS HAT AZFALYZA BINTI ABDU</t>
  </si>
  <si>
    <t>PGTEFT2841</t>
  </si>
  <si>
    <t>93212</t>
  </si>
  <si>
    <t>Returned from RELA</t>
  </si>
  <si>
    <t>Dec 2017</t>
  </si>
  <si>
    <t>AZFALYZA BINTI ABDUL</t>
  </si>
  <si>
    <t>/ROC/KLMP0026321RES RHB ASSET MANAGEMENT</t>
  </si>
  <si>
    <t>KLMP0026321</t>
  </si>
  <si>
    <t>08550190</t>
  </si>
  <si>
    <t>AUTOPAY CHARGES</t>
  </si>
  <si>
    <t>210024469545</t>
  </si>
  <si>
    <t>U2017122200621 RTB1712210024469545.TXT</t>
  </si>
  <si>
    <t>1712210024469545</t>
  </si>
  <si>
    <t>/</t>
  </si>
  <si>
    <t>24652136</t>
  </si>
  <si>
    <t>PGTEFT2840</t>
  </si>
  <si>
    <t>PGTEFT2840          PTPTN LOAN</t>
  </si>
  <si>
    <t>09358221</t>
  </si>
  <si>
    <t>09351183</t>
  </si>
  <si>
    <t>U2017122601692 Autopay20171230-Encrypted</t>
  </si>
  <si>
    <t>347109351183</t>
  </si>
  <si>
    <t>00688094</t>
  </si>
  <si>
    <t>24650150</t>
  </si>
  <si>
    <t>BAMBOO CATERING (M)</t>
  </si>
  <si>
    <t>PGTEFT2873</t>
  </si>
  <si>
    <t>14676-9773</t>
  </si>
  <si>
    <t>PGTEFT2873          14676-9773</t>
  </si>
  <si>
    <t>24650191</t>
  </si>
  <si>
    <t>LED-JULY PERFORMANCE PLUS MA</t>
  </si>
  <si>
    <t>PGTEFT2872</t>
  </si>
  <si>
    <t>PPM17-07-02</t>
  </si>
  <si>
    <t>24650720</t>
  </si>
  <si>
    <t>PGTEFT2864</t>
  </si>
  <si>
    <t>INV299980</t>
  </si>
  <si>
    <t>PGTEFT2864          INV299980</t>
  </si>
  <si>
    <t>24650758</t>
  </si>
  <si>
    <t>PGTEFT2863</t>
  </si>
  <si>
    <t>INV151825</t>
  </si>
  <si>
    <t>PGTEFT2863          INV151825</t>
  </si>
  <si>
    <t>24650311</t>
  </si>
  <si>
    <t>PGTEFT2871</t>
  </si>
  <si>
    <t>DEC2017</t>
  </si>
  <si>
    <t>PGTEFT2871          DEC2017</t>
  </si>
  <si>
    <t>24650614</t>
  </si>
  <si>
    <t>PGTEFT2867</t>
  </si>
  <si>
    <t>INV17-073</t>
  </si>
  <si>
    <t>PGTEFT2867          INV17-073</t>
  </si>
  <si>
    <t>24650462</t>
  </si>
  <si>
    <t>GUIDE FEE DEC TOH KIM HOCK</t>
  </si>
  <si>
    <t>PGTEFT2869</t>
  </si>
  <si>
    <t>INV131T 132T</t>
  </si>
  <si>
    <t>24650957</t>
  </si>
  <si>
    <t>PEWTER ART TROPHY MA</t>
  </si>
  <si>
    <t>PGTEFT2862</t>
  </si>
  <si>
    <t>028231INV</t>
  </si>
  <si>
    <t>PGTEFT2862          028231INV</t>
  </si>
  <si>
    <t>24650399</t>
  </si>
  <si>
    <t>VCREATE SDN BHD</t>
  </si>
  <si>
    <t>PGTEFT2870</t>
  </si>
  <si>
    <t>11125-17</t>
  </si>
  <si>
    <t>PGTEFT2870          11125-17</t>
  </si>
  <si>
    <t>24650679</t>
  </si>
  <si>
    <t>RICKVEEN SINGH A/L H</t>
  </si>
  <si>
    <t>PGTEFT2865</t>
  </si>
  <si>
    <t>PGTEFT2865          WELCOMING RECEPTION</t>
  </si>
  <si>
    <t>24650532</t>
  </si>
  <si>
    <t>PGTEFT2868</t>
  </si>
  <si>
    <t>PGTEFT2868          PHOTOGRAPHY SERVICE</t>
  </si>
  <si>
    <t>24651029</t>
  </si>
  <si>
    <t>PGTEFT2861</t>
  </si>
  <si>
    <t>I-45253</t>
  </si>
  <si>
    <t>24651347</t>
  </si>
  <si>
    <t>PGTEFT2858</t>
  </si>
  <si>
    <t>PGT008</t>
  </si>
  <si>
    <t>PGTEFT2858          PGT008</t>
  </si>
  <si>
    <t>24651597</t>
  </si>
  <si>
    <t>PGTEFT2853</t>
  </si>
  <si>
    <t>S1712049</t>
  </si>
  <si>
    <t>PGTEFT2853          S1712049</t>
  </si>
  <si>
    <t>24651098</t>
  </si>
  <si>
    <t>LIM WOOI HONG</t>
  </si>
  <si>
    <t>PGTEFT2860</t>
  </si>
  <si>
    <t>INV00007</t>
  </si>
  <si>
    <t>PGTEFT2860          INV00007</t>
  </si>
  <si>
    <t>24651463</t>
  </si>
  <si>
    <t>PGTEFT2855</t>
  </si>
  <si>
    <t>ACC316057</t>
  </si>
  <si>
    <t>PGTEFT2855          ACC316057</t>
  </si>
  <si>
    <t>24652098</t>
  </si>
  <si>
    <t>PGTEFT2851</t>
  </si>
  <si>
    <t>JN0402 JN0403</t>
  </si>
  <si>
    <t>PGTEFT2851          JN0402 JN0403</t>
  </si>
  <si>
    <t>24651399</t>
  </si>
  <si>
    <t>PGTEFT2856</t>
  </si>
  <si>
    <t>CLEANING SERVICE</t>
  </si>
  <si>
    <t>PGTEFT2856          CLEANING SERVICE</t>
  </si>
  <si>
    <t>24651198</t>
  </si>
  <si>
    <t>PGTEFT2859</t>
  </si>
  <si>
    <t>INV19555</t>
  </si>
  <si>
    <t>PGTEFT2859          INV19555</t>
  </si>
  <si>
    <t>24651646</t>
  </si>
  <si>
    <t>PAYROLL-DEC'17 CORPORATENET ADVISO</t>
  </si>
  <si>
    <t>PGTEFT2852</t>
  </si>
  <si>
    <t>CA-17-0164</t>
  </si>
  <si>
    <t>24651545</t>
  </si>
  <si>
    <t>0117,0615,0626 ELANG WAH SDN. BHD.</t>
  </si>
  <si>
    <t>PGTEFT2854</t>
  </si>
  <si>
    <t>225368468</t>
  </si>
  <si>
    <t>20008271217T0080</t>
  </si>
  <si>
    <t>AUTOPAY CHARGES 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</si>
</sst>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4" applyNumberFormat="0" applyAlignment="0" applyProtection="0"/>
    <xf numFmtId="0" fontId="12" fillId="8" borderId="5" applyNumberFormat="0" applyAlignment="0" applyProtection="0"/>
    <xf numFmtId="0" fontId="13" fillId="8" borderId="4" applyNumberFormat="0" applyAlignment="0" applyProtection="0"/>
    <xf numFmtId="0" fontId="14" fillId="0" borderId="6" applyNumberFormat="0" applyFill="0" applyAlignment="0" applyProtection="0"/>
    <xf numFmtId="0" fontId="15" fillId="9" borderId="7" applyNumberFormat="0" applyAlignment="0" applyProtection="0"/>
    <xf numFmtId="0" fontId="16" fillId="0" borderId="0" applyNumberFormat="0" applyFill="0" applyBorder="0" applyAlignment="0" applyProtection="0"/>
    <xf numFmtId="0" fontId="2" fillId="10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9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9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9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9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9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4" applyNumberFormat="0" applyAlignment="0" applyProtection="0"/>
    <xf numFmtId="0" fontId="28" fillId="8" borderId="5" applyNumberFormat="0" applyAlignment="0" applyProtection="0"/>
    <xf numFmtId="0" fontId="29" fillId="8" borderId="4" applyNumberFormat="0" applyAlignment="0" applyProtection="0"/>
    <xf numFmtId="0" fontId="30" fillId="0" borderId="6" applyNumberFormat="0" applyFill="0" applyAlignment="0" applyProtection="0"/>
    <xf numFmtId="0" fontId="31" fillId="9" borderId="7" applyNumberFormat="0" applyAlignment="0" applyProtection="0"/>
    <xf numFmtId="0" fontId="32" fillId="0" borderId="0" applyNumberFormat="0" applyFill="0" applyBorder="0" applyAlignment="0" applyProtection="0"/>
    <xf numFmtId="0" fontId="1" fillId="10" borderId="8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0">
    <xf numFmtId="0" fontId="0" fillId="0" borderId="0" xfId="0"/>
    <xf numFmtId="43" fontId="0" fillId="0" borderId="0" xfId="1" applyFont="1"/>
    <xf numFmtId="43" fontId="0" fillId="2" borderId="0" xfId="1" applyFont="1" applyFill="1"/>
    <xf numFmtId="0" fontId="0" fillId="0" borderId="0" xfId="0" applyNumberFormat="1"/>
    <xf numFmtId="43" fontId="0" fillId="3" borderId="0" xfId="1" applyFont="1" applyFill="1"/>
    <xf numFmtId="43" fontId="3" fillId="0" borderId="0" xfId="1" applyFont="1"/>
    <xf numFmtId="0" fontId="0" fillId="0" borderId="0" xfId="0" quotePrefix="1"/>
    <xf numFmtId="43" fontId="0" fillId="0" borderId="0" xfId="0" applyNumberFormat="1"/>
    <xf numFmtId="0" fontId="0" fillId="0" borderId="0" xfId="0" applyAlignment="1">
      <alignment horizontal="left"/>
    </xf>
    <xf numFmtId="0" fontId="20" fillId="0" borderId="0" xfId="0" applyFont="1"/>
    <xf numFmtId="43" fontId="20" fillId="0" borderId="0" xfId="1" applyFont="1"/>
    <xf numFmtId="0" fontId="20" fillId="0" borderId="0" xfId="0" applyFont="1" applyFill="1"/>
    <xf numFmtId="43" fontId="20" fillId="0" borderId="0" xfId="1" applyFont="1" applyFill="1"/>
    <xf numFmtId="0" fontId="0" fillId="0" borderId="0" xfId="0"/>
    <xf numFmtId="43" fontId="0" fillId="0" borderId="0" xfId="1" applyFont="1"/>
    <xf numFmtId="0" fontId="0" fillId="0" borderId="0" xfId="0" applyFont="1"/>
    <xf numFmtId="43" fontId="0" fillId="0" borderId="0" xfId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43" applyFont="1"/>
    <xf numFmtId="43" fontId="0" fillId="0" borderId="0" xfId="44" applyFont="1"/>
  </cellXfs>
  <cellStyles count="85">
    <cellStyle name="20% - Accent1" xfId="20" builtinId="30" customBuiltin="1"/>
    <cellStyle name="20% - Accent1 2" xfId="62"/>
    <cellStyle name="20% - Accent2" xfId="24" builtinId="34" customBuiltin="1"/>
    <cellStyle name="20% - Accent2 2" xfId="66"/>
    <cellStyle name="20% - Accent3" xfId="28" builtinId="38" customBuiltin="1"/>
    <cellStyle name="20% - Accent3 2" xfId="70"/>
    <cellStyle name="20% - Accent4" xfId="32" builtinId="42" customBuiltin="1"/>
    <cellStyle name="20% - Accent4 2" xfId="74"/>
    <cellStyle name="20% - Accent5" xfId="36" builtinId="46" customBuiltin="1"/>
    <cellStyle name="20% - Accent5 2" xfId="78"/>
    <cellStyle name="20% - Accent6" xfId="40" builtinId="50" customBuiltin="1"/>
    <cellStyle name="20% - Accent6 2" xfId="82"/>
    <cellStyle name="40% - Accent1" xfId="21" builtinId="31" customBuiltin="1"/>
    <cellStyle name="40% - Accent1 2" xfId="63"/>
    <cellStyle name="40% - Accent2" xfId="25" builtinId="35" customBuiltin="1"/>
    <cellStyle name="40% - Accent2 2" xfId="67"/>
    <cellStyle name="40% - Accent3" xfId="29" builtinId="39" customBuiltin="1"/>
    <cellStyle name="40% - Accent3 2" xfId="71"/>
    <cellStyle name="40% - Accent4" xfId="33" builtinId="43" customBuiltin="1"/>
    <cellStyle name="40% - Accent4 2" xfId="75"/>
    <cellStyle name="40% - Accent5" xfId="37" builtinId="47" customBuiltin="1"/>
    <cellStyle name="40% - Accent5 2" xfId="79"/>
    <cellStyle name="40% - Accent6" xfId="41" builtinId="51" customBuiltin="1"/>
    <cellStyle name="40% - Accent6 2" xfId="83"/>
    <cellStyle name="60% - Accent1" xfId="22" builtinId="32" customBuiltin="1"/>
    <cellStyle name="60% - Accent1 2" xfId="64"/>
    <cellStyle name="60% - Accent2" xfId="26" builtinId="36" customBuiltin="1"/>
    <cellStyle name="60% - Accent2 2" xfId="68"/>
    <cellStyle name="60% - Accent3" xfId="30" builtinId="40" customBuiltin="1"/>
    <cellStyle name="60% - Accent3 2" xfId="72"/>
    <cellStyle name="60% - Accent4" xfId="34" builtinId="44" customBuiltin="1"/>
    <cellStyle name="60% - Accent4 2" xfId="76"/>
    <cellStyle name="60% - Accent5" xfId="38" builtinId="48" customBuiltin="1"/>
    <cellStyle name="60% - Accent5 2" xfId="80"/>
    <cellStyle name="60% - Accent6" xfId="42" builtinId="52" customBuiltin="1"/>
    <cellStyle name="60% - Accent6 2" xfId="84"/>
    <cellStyle name="Accent1" xfId="19" builtinId="29" customBuiltin="1"/>
    <cellStyle name="Accent1 2" xfId="61"/>
    <cellStyle name="Accent2" xfId="23" builtinId="33" customBuiltin="1"/>
    <cellStyle name="Accent2 2" xfId="65"/>
    <cellStyle name="Accent3" xfId="27" builtinId="37" customBuiltin="1"/>
    <cellStyle name="Accent3 2" xfId="69"/>
    <cellStyle name="Accent4" xfId="31" builtinId="41" customBuiltin="1"/>
    <cellStyle name="Accent4 2" xfId="73"/>
    <cellStyle name="Accent5" xfId="35" builtinId="45" customBuiltin="1"/>
    <cellStyle name="Accent5 2" xfId="77"/>
    <cellStyle name="Accent6" xfId="39" builtinId="49" customBuiltin="1"/>
    <cellStyle name="Accent6 2" xfId="81"/>
    <cellStyle name="Bad" xfId="8" builtinId="27" customBuiltin="1"/>
    <cellStyle name="Bad 2" xfId="50"/>
    <cellStyle name="Calculation" xfId="12" builtinId="22" customBuiltin="1"/>
    <cellStyle name="Calculation 2" xfId="54"/>
    <cellStyle name="Check Cell" xfId="14" builtinId="23" customBuiltin="1"/>
    <cellStyle name="Check Cell 2" xfId="56"/>
    <cellStyle name="Comma" xfId="1" builtinId="3"/>
    <cellStyle name="Comma 2" xfId="44"/>
    <cellStyle name="Explanatory Text" xfId="17" builtinId="53" customBuiltin="1"/>
    <cellStyle name="Explanatory Text 2" xfId="59"/>
    <cellStyle name="Good" xfId="7" builtinId="26" customBuiltin="1"/>
    <cellStyle name="Good 2" xfId="49"/>
    <cellStyle name="Heading 1" xfId="3" builtinId="16" customBuiltin="1"/>
    <cellStyle name="Heading 1 2" xfId="45"/>
    <cellStyle name="Heading 2" xfId="4" builtinId="17" customBuiltin="1"/>
    <cellStyle name="Heading 2 2" xfId="46"/>
    <cellStyle name="Heading 3" xfId="5" builtinId="18" customBuiltin="1"/>
    <cellStyle name="Heading 3 2" xfId="47"/>
    <cellStyle name="Heading 4" xfId="6" builtinId="19" customBuiltin="1"/>
    <cellStyle name="Heading 4 2" xfId="48"/>
    <cellStyle name="Input" xfId="10" builtinId="20" customBuiltin="1"/>
    <cellStyle name="Input 2" xfId="52"/>
    <cellStyle name="Linked Cell" xfId="13" builtinId="24" customBuiltin="1"/>
    <cellStyle name="Linked Cell 2" xfId="55"/>
    <cellStyle name="Neutral" xfId="9" builtinId="28" customBuiltin="1"/>
    <cellStyle name="Neutral 2" xfId="51"/>
    <cellStyle name="Normal" xfId="0" builtinId="0"/>
    <cellStyle name="Normal 2" xfId="43"/>
    <cellStyle name="Note" xfId="16" builtinId="10" customBuiltin="1"/>
    <cellStyle name="Note 2" xfId="58"/>
    <cellStyle name="Output" xfId="11" builtinId="21" customBuiltin="1"/>
    <cellStyle name="Output 2" xfId="53"/>
    <cellStyle name="Title" xfId="2" builtinId="15" customBuiltin="1"/>
    <cellStyle name="Total" xfId="18" builtinId="25" customBuiltin="1"/>
    <cellStyle name="Total 2" xfId="60"/>
    <cellStyle name="Warning Text" xfId="15" builtinId="11" customBuiltin="1"/>
    <cellStyle name="Warning Text 2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0"/>
  <sheetViews>
    <sheetView topLeftCell="A49" workbookViewId="0">
      <selection activeCell="H270" sqref="H270"/>
    </sheetView>
  </sheetViews>
  <sheetFormatPr defaultRowHeight="15" x14ac:dyDescent="0.25"/>
  <cols>
    <col min="1" max="1" width="14" customWidth="1"/>
    <col min="5" max="5" width="23" customWidth="1"/>
    <col min="7" max="7" width="12.85546875" style="3" customWidth="1"/>
    <col min="8" max="8" width="13.28515625" style="1" customWidth="1"/>
    <col min="9" max="9" width="9.140625" style="1"/>
    <col min="10" max="10" width="13.28515625" style="1" customWidth="1"/>
    <col min="13" max="13" width="43.1406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4</v>
      </c>
    </row>
    <row r="5" spans="1:18" x14ac:dyDescent="0.25">
      <c r="A5" t="s">
        <v>5</v>
      </c>
    </row>
    <row r="6" spans="1:18" x14ac:dyDescent="0.25">
      <c r="A6" t="s">
        <v>6</v>
      </c>
    </row>
    <row r="7" spans="1:18" x14ac:dyDescent="0.25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s="3" t="s">
        <v>13</v>
      </c>
      <c r="H7" s="1" t="s">
        <v>14</v>
      </c>
      <c r="I7" s="1" t="s">
        <v>15</v>
      </c>
      <c r="J7" s="1" t="s">
        <v>16</v>
      </c>
      <c r="K7" t="s">
        <v>17</v>
      </c>
      <c r="L7" t="s">
        <v>18</v>
      </c>
      <c r="M7" t="s">
        <v>19</v>
      </c>
      <c r="N7" t="s">
        <v>20</v>
      </c>
      <c r="O7" t="s">
        <v>21</v>
      </c>
      <c r="P7" t="s">
        <v>22</v>
      </c>
      <c r="Q7" t="s">
        <v>23</v>
      </c>
      <c r="R7" t="s">
        <v>24</v>
      </c>
    </row>
    <row r="8" spans="1:18" x14ac:dyDescent="0.25">
      <c r="A8">
        <v>8003879954</v>
      </c>
      <c r="B8">
        <v>45</v>
      </c>
      <c r="C8">
        <v>31032017</v>
      </c>
      <c r="D8">
        <v>345</v>
      </c>
      <c r="E8" t="s">
        <v>27</v>
      </c>
      <c r="F8">
        <v>9938</v>
      </c>
      <c r="G8" s="3">
        <v>15142169</v>
      </c>
      <c r="H8" s="1">
        <v>810</v>
      </c>
      <c r="I8" t="s">
        <v>28</v>
      </c>
      <c r="J8" s="1">
        <v>1908475.2</v>
      </c>
      <c r="K8" t="s">
        <v>26</v>
      </c>
      <c r="L8">
        <v>175100</v>
      </c>
      <c r="M8" t="str">
        <f>"SIM KOK JIUN"</f>
        <v>SIM KOK JIUN</v>
      </c>
      <c r="O8">
        <v>1</v>
      </c>
      <c r="P8" t="str">
        <f>"PGTEFT2199"</f>
        <v>PGTEFT2199</v>
      </c>
      <c r="Q8" t="str">
        <f>"RELA ALLOWANCE"</f>
        <v>RELA ALLOWANCE</v>
      </c>
    </row>
    <row r="9" spans="1:18" x14ac:dyDescent="0.25">
      <c r="A9">
        <v>8003879954</v>
      </c>
      <c r="B9">
        <v>44</v>
      </c>
      <c r="C9">
        <v>31032017</v>
      </c>
      <c r="D9">
        <v>341</v>
      </c>
      <c r="E9" t="s">
        <v>29</v>
      </c>
      <c r="F9">
        <v>9938</v>
      </c>
      <c r="G9" s="3">
        <v>15142404</v>
      </c>
      <c r="H9" s="1">
        <v>2000</v>
      </c>
      <c r="I9" t="s">
        <v>28</v>
      </c>
      <c r="J9" s="1">
        <v>1909285.2</v>
      </c>
      <c r="K9" t="s">
        <v>26</v>
      </c>
      <c r="L9">
        <v>175059</v>
      </c>
      <c r="M9" t="str">
        <f>"PERSATUAN CHINGAY PU"</f>
        <v>PERSATUAN CHINGAY PU</v>
      </c>
      <c r="O9">
        <v>1</v>
      </c>
      <c r="P9" t="str">
        <f>"PGTEFT2197"</f>
        <v>PGTEFT2197</v>
      </c>
      <c r="Q9" t="str">
        <f>"INV1600"</f>
        <v>INV1600</v>
      </c>
    </row>
    <row r="10" spans="1:18" x14ac:dyDescent="0.25">
      <c r="A10">
        <v>8003879954</v>
      </c>
      <c r="B10">
        <v>43</v>
      </c>
      <c r="C10">
        <v>31032017</v>
      </c>
      <c r="D10">
        <v>299</v>
      </c>
      <c r="E10" t="s">
        <v>30</v>
      </c>
      <c r="F10">
        <v>9938</v>
      </c>
      <c r="G10" s="3">
        <v>15142404</v>
      </c>
      <c r="H10" s="1">
        <v>0.01</v>
      </c>
      <c r="I10" t="s">
        <v>28</v>
      </c>
      <c r="J10" s="1">
        <v>1911285.2</v>
      </c>
      <c r="K10" t="s">
        <v>26</v>
      </c>
      <c r="L10">
        <v>175059</v>
      </c>
      <c r="M10" t="str">
        <f>"PGTEFT2197          INV1600"</f>
        <v>PGTEFT2197          INV1600</v>
      </c>
      <c r="O10">
        <v>1</v>
      </c>
    </row>
    <row r="11" spans="1:18" x14ac:dyDescent="0.25">
      <c r="A11">
        <v>8003879954</v>
      </c>
      <c r="B11">
        <v>42</v>
      </c>
      <c r="C11">
        <v>31032017</v>
      </c>
      <c r="D11">
        <v>489</v>
      </c>
      <c r="E11" t="s">
        <v>31</v>
      </c>
      <c r="F11">
        <v>9938</v>
      </c>
      <c r="G11" s="3">
        <v>15142404</v>
      </c>
      <c r="H11" s="1">
        <v>0.1</v>
      </c>
      <c r="I11" t="s">
        <v>28</v>
      </c>
      <c r="J11" s="1">
        <v>1911285.21</v>
      </c>
      <c r="K11" t="s">
        <v>26</v>
      </c>
      <c r="L11">
        <v>175059</v>
      </c>
      <c r="M11" t="str">
        <f>"PGTEFT2197          INV1600"</f>
        <v>PGTEFT2197          INV1600</v>
      </c>
      <c r="O11">
        <v>1</v>
      </c>
    </row>
    <row r="12" spans="1:18" x14ac:dyDescent="0.25">
      <c r="A12">
        <v>8003879954</v>
      </c>
      <c r="B12">
        <v>41</v>
      </c>
      <c r="C12">
        <v>31032017</v>
      </c>
      <c r="D12">
        <v>341</v>
      </c>
      <c r="E12" t="s">
        <v>29</v>
      </c>
      <c r="F12">
        <v>9938</v>
      </c>
      <c r="G12" s="3">
        <v>15142829</v>
      </c>
      <c r="H12" s="1">
        <v>1200</v>
      </c>
      <c r="I12" t="s">
        <v>28</v>
      </c>
      <c r="J12" s="1">
        <v>1911285.31</v>
      </c>
      <c r="K12" t="s">
        <v>26</v>
      </c>
      <c r="L12">
        <v>175059</v>
      </c>
      <c r="M12" t="str">
        <f>"HONG GUAN SPORTS GYM"</f>
        <v>HONG GUAN SPORTS GYM</v>
      </c>
      <c r="O12">
        <v>1</v>
      </c>
      <c r="P12" t="str">
        <f>"PGTEFT2193"</f>
        <v>PGTEFT2193</v>
      </c>
      <c r="Q12" t="str">
        <f>"INV51814"</f>
        <v>INV51814</v>
      </c>
    </row>
    <row r="13" spans="1:18" x14ac:dyDescent="0.25">
      <c r="A13">
        <v>8003879954</v>
      </c>
      <c r="B13">
        <v>40</v>
      </c>
      <c r="C13">
        <v>31032017</v>
      </c>
      <c r="D13">
        <v>299</v>
      </c>
      <c r="E13" t="s">
        <v>30</v>
      </c>
      <c r="F13">
        <v>9938</v>
      </c>
      <c r="G13" s="3">
        <v>15142829</v>
      </c>
      <c r="H13" s="1">
        <v>0.01</v>
      </c>
      <c r="I13" t="s">
        <v>28</v>
      </c>
      <c r="J13" s="1">
        <v>1912485.31</v>
      </c>
      <c r="K13" t="s">
        <v>26</v>
      </c>
      <c r="L13">
        <v>175059</v>
      </c>
      <c r="M13" t="str">
        <f>"PGTEFT2193          INV51814"</f>
        <v>PGTEFT2193          INV51814</v>
      </c>
      <c r="O13">
        <v>1</v>
      </c>
    </row>
    <row r="14" spans="1:18" x14ac:dyDescent="0.25">
      <c r="A14">
        <v>8003879954</v>
      </c>
      <c r="B14">
        <v>39</v>
      </c>
      <c r="C14">
        <v>31032017</v>
      </c>
      <c r="D14">
        <v>489</v>
      </c>
      <c r="E14" t="s">
        <v>31</v>
      </c>
      <c r="F14">
        <v>9938</v>
      </c>
      <c r="G14" s="3">
        <v>15142829</v>
      </c>
      <c r="H14" s="1">
        <v>0.1</v>
      </c>
      <c r="I14" t="s">
        <v>28</v>
      </c>
      <c r="J14" s="1">
        <v>1912485.32</v>
      </c>
      <c r="K14" t="s">
        <v>26</v>
      </c>
      <c r="L14">
        <v>175059</v>
      </c>
      <c r="M14" t="str">
        <f>"PGTEFT2193          INV51814"</f>
        <v>PGTEFT2193          INV51814</v>
      </c>
      <c r="O14">
        <v>1</v>
      </c>
    </row>
    <row r="15" spans="1:18" x14ac:dyDescent="0.25">
      <c r="A15">
        <v>8003879954</v>
      </c>
      <c r="B15">
        <v>38</v>
      </c>
      <c r="C15">
        <v>31032017</v>
      </c>
      <c r="D15">
        <v>341</v>
      </c>
      <c r="E15" t="s">
        <v>29</v>
      </c>
      <c r="F15">
        <v>9938</v>
      </c>
      <c r="G15" s="3">
        <v>15142579</v>
      </c>
      <c r="H15" s="1">
        <v>850</v>
      </c>
      <c r="I15" t="s">
        <v>28</v>
      </c>
      <c r="J15" s="1">
        <v>1912485.42</v>
      </c>
      <c r="K15" t="s">
        <v>26</v>
      </c>
      <c r="L15">
        <v>175057</v>
      </c>
      <c r="M15" t="str">
        <f>"JAYKODI RESOURCES"</f>
        <v>JAYKODI RESOURCES</v>
      </c>
      <c r="O15">
        <v>1</v>
      </c>
      <c r="P15" t="str">
        <f>"PGTEFT2195"</f>
        <v>PGTEFT2195</v>
      </c>
      <c r="Q15" t="str">
        <f>"CLEANING SERVICES"</f>
        <v>CLEANING SERVICES</v>
      </c>
    </row>
    <row r="16" spans="1:18" x14ac:dyDescent="0.25">
      <c r="A16">
        <v>8003879954</v>
      </c>
      <c r="B16">
        <v>37</v>
      </c>
      <c r="C16">
        <v>31032017</v>
      </c>
      <c r="D16">
        <v>299</v>
      </c>
      <c r="E16" t="s">
        <v>30</v>
      </c>
      <c r="F16">
        <v>9938</v>
      </c>
      <c r="G16" s="3">
        <v>15142579</v>
      </c>
      <c r="H16" s="1">
        <v>0.01</v>
      </c>
      <c r="I16" t="s">
        <v>28</v>
      </c>
      <c r="J16" s="1">
        <v>1913335.42</v>
      </c>
      <c r="K16" t="s">
        <v>26</v>
      </c>
      <c r="L16">
        <v>175057</v>
      </c>
      <c r="M16" t="str">
        <f>"PGTEFT2195          CLEANING SERVICES"</f>
        <v>PGTEFT2195          CLEANING SERVICES</v>
      </c>
      <c r="O16">
        <v>1</v>
      </c>
    </row>
    <row r="17" spans="1:17" x14ac:dyDescent="0.25">
      <c r="A17">
        <v>8003879954</v>
      </c>
      <c r="B17">
        <v>36</v>
      </c>
      <c r="C17">
        <v>31032017</v>
      </c>
      <c r="D17">
        <v>489</v>
      </c>
      <c r="E17" t="s">
        <v>31</v>
      </c>
      <c r="F17">
        <v>9938</v>
      </c>
      <c r="G17" s="3">
        <v>15142579</v>
      </c>
      <c r="H17" s="1">
        <v>0.1</v>
      </c>
      <c r="I17" t="s">
        <v>28</v>
      </c>
      <c r="J17" s="1">
        <v>1913335.43</v>
      </c>
      <c r="K17" t="s">
        <v>26</v>
      </c>
      <c r="L17">
        <v>175057</v>
      </c>
      <c r="M17" t="str">
        <f>"PGTEFT2195          CLEANING SERVICES"</f>
        <v>PGTEFT2195          CLEANING SERVICES</v>
      </c>
      <c r="O17">
        <v>1</v>
      </c>
    </row>
    <row r="18" spans="1:17" x14ac:dyDescent="0.25">
      <c r="A18">
        <v>8003879954</v>
      </c>
      <c r="B18">
        <v>35</v>
      </c>
      <c r="C18">
        <v>31032017</v>
      </c>
      <c r="D18">
        <v>341</v>
      </c>
      <c r="E18" t="s">
        <v>29</v>
      </c>
      <c r="F18">
        <v>9938</v>
      </c>
      <c r="G18" s="3">
        <v>15141363</v>
      </c>
      <c r="H18" s="1">
        <v>5300</v>
      </c>
      <c r="I18" t="s">
        <v>28</v>
      </c>
      <c r="J18" s="1">
        <v>1913335.53</v>
      </c>
      <c r="K18" t="s">
        <v>26</v>
      </c>
      <c r="L18">
        <v>175057</v>
      </c>
      <c r="M18" t="str">
        <f>"BOLD INSPIRATION SDN"</f>
        <v>BOLD INSPIRATION SDN</v>
      </c>
      <c r="O18">
        <v>1</v>
      </c>
      <c r="P18" t="str">
        <f>"PGTEFT2204"</f>
        <v>PGTEFT2204</v>
      </c>
      <c r="Q18" t="str">
        <f>"JN-0338"</f>
        <v>JN-0338</v>
      </c>
    </row>
    <row r="19" spans="1:17" x14ac:dyDescent="0.25">
      <c r="A19">
        <v>8003879954</v>
      </c>
      <c r="B19">
        <v>34</v>
      </c>
      <c r="C19">
        <v>31032017</v>
      </c>
      <c r="D19">
        <v>299</v>
      </c>
      <c r="E19" t="s">
        <v>30</v>
      </c>
      <c r="F19">
        <v>9938</v>
      </c>
      <c r="G19" s="3">
        <v>15141363</v>
      </c>
      <c r="H19" s="1">
        <v>0.01</v>
      </c>
      <c r="I19" t="s">
        <v>28</v>
      </c>
      <c r="J19" s="1">
        <v>1918635.53</v>
      </c>
      <c r="K19" t="s">
        <v>26</v>
      </c>
      <c r="L19">
        <v>175057</v>
      </c>
      <c r="M19" t="str">
        <f>"PGTEFT2204          JN-0338"</f>
        <v>PGTEFT2204          JN-0338</v>
      </c>
      <c r="O19">
        <v>1</v>
      </c>
    </row>
    <row r="20" spans="1:17" x14ac:dyDescent="0.25">
      <c r="A20">
        <v>8003879954</v>
      </c>
      <c r="B20">
        <v>33</v>
      </c>
      <c r="C20">
        <v>31032017</v>
      </c>
      <c r="D20">
        <v>489</v>
      </c>
      <c r="E20" t="s">
        <v>31</v>
      </c>
      <c r="F20">
        <v>9938</v>
      </c>
      <c r="G20" s="3">
        <v>15141363</v>
      </c>
      <c r="H20" s="1">
        <v>0.1</v>
      </c>
      <c r="I20" t="s">
        <v>28</v>
      </c>
      <c r="J20" s="1">
        <v>1918635.54</v>
      </c>
      <c r="K20" t="s">
        <v>26</v>
      </c>
      <c r="L20">
        <v>175057</v>
      </c>
      <c r="M20" t="str">
        <f>"PGTEFT2204          JN-0338"</f>
        <v>PGTEFT2204          JN-0338</v>
      </c>
      <c r="O20">
        <v>1</v>
      </c>
    </row>
    <row r="21" spans="1:17" x14ac:dyDescent="0.25">
      <c r="A21">
        <v>8003879954</v>
      </c>
      <c r="B21">
        <v>32</v>
      </c>
      <c r="C21">
        <v>31032017</v>
      </c>
      <c r="D21">
        <v>341</v>
      </c>
      <c r="E21" t="s">
        <v>29</v>
      </c>
      <c r="F21">
        <v>9938</v>
      </c>
      <c r="G21" s="3">
        <v>15142293</v>
      </c>
      <c r="H21" s="1">
        <v>559.89</v>
      </c>
      <c r="I21" t="s">
        <v>28</v>
      </c>
      <c r="J21" s="1">
        <v>1918635.64</v>
      </c>
      <c r="K21" t="s">
        <v>26</v>
      </c>
      <c r="L21">
        <v>175052</v>
      </c>
      <c r="M21" t="str">
        <f>"ROD CREATIVE SDN BHD"</f>
        <v>ROD CREATIVE SDN BHD</v>
      </c>
      <c r="O21">
        <v>1</v>
      </c>
      <c r="P21" t="str">
        <f>"PGTEFT2198"</f>
        <v>PGTEFT2198</v>
      </c>
      <c r="Q21" t="str">
        <f>"151574 151274"</f>
        <v>151574 151274</v>
      </c>
    </row>
    <row r="22" spans="1:17" x14ac:dyDescent="0.25">
      <c r="A22">
        <v>8003879954</v>
      </c>
      <c r="B22">
        <v>31</v>
      </c>
      <c r="C22">
        <v>31032017</v>
      </c>
      <c r="D22">
        <v>299</v>
      </c>
      <c r="E22" t="s">
        <v>30</v>
      </c>
      <c r="F22">
        <v>9938</v>
      </c>
      <c r="G22" s="3">
        <v>15142293</v>
      </c>
      <c r="H22" s="1">
        <v>0.01</v>
      </c>
      <c r="I22" t="s">
        <v>28</v>
      </c>
      <c r="J22" s="1">
        <v>1919195.53</v>
      </c>
      <c r="K22" t="s">
        <v>26</v>
      </c>
      <c r="L22">
        <v>175052</v>
      </c>
      <c r="M22" t="str">
        <f>"PGTEFT2198          151574 151274"</f>
        <v>PGTEFT2198          151574 151274</v>
      </c>
      <c r="O22">
        <v>1</v>
      </c>
    </row>
    <row r="23" spans="1:17" x14ac:dyDescent="0.25">
      <c r="A23">
        <v>8003879954</v>
      </c>
      <c r="B23">
        <v>30</v>
      </c>
      <c r="C23">
        <v>31032017</v>
      </c>
      <c r="D23">
        <v>489</v>
      </c>
      <c r="E23" t="s">
        <v>31</v>
      </c>
      <c r="F23">
        <v>9938</v>
      </c>
      <c r="G23" s="3">
        <v>15142293</v>
      </c>
      <c r="H23" s="1">
        <v>0.1</v>
      </c>
      <c r="I23" t="s">
        <v>28</v>
      </c>
      <c r="J23" s="1">
        <v>1919195.54</v>
      </c>
      <c r="K23" t="s">
        <v>26</v>
      </c>
      <c r="L23">
        <v>175052</v>
      </c>
      <c r="M23" t="str">
        <f>"PGTEFT2198          151574 151274"</f>
        <v>PGTEFT2198          151574 151274</v>
      </c>
      <c r="O23">
        <v>1</v>
      </c>
    </row>
    <row r="24" spans="1:17" x14ac:dyDescent="0.25">
      <c r="A24">
        <v>8003879954</v>
      </c>
      <c r="B24">
        <v>29</v>
      </c>
      <c r="C24">
        <v>31032017</v>
      </c>
      <c r="D24">
        <v>60</v>
      </c>
      <c r="E24" t="s">
        <v>43</v>
      </c>
      <c r="F24">
        <v>9938</v>
      </c>
      <c r="G24" s="3">
        <v>15142969</v>
      </c>
      <c r="H24" s="1">
        <v>689</v>
      </c>
      <c r="I24" t="s">
        <v>28</v>
      </c>
      <c r="J24" s="1">
        <v>1919195.64</v>
      </c>
      <c r="K24" t="s">
        <v>26</v>
      </c>
      <c r="L24">
        <v>175052</v>
      </c>
      <c r="M24" t="str">
        <f>"HOHO ON 26/3 ELANG WAH SDN. BHD."</f>
        <v>HOHO ON 26/3 ELANG WAH SDN. BHD.</v>
      </c>
      <c r="O24">
        <v>1</v>
      </c>
      <c r="P24" t="str">
        <f>"PGTEFT2191"</f>
        <v>PGTEFT2191</v>
      </c>
      <c r="Q24" t="str">
        <f>"LFSS"</f>
        <v>LFSS</v>
      </c>
    </row>
    <row r="25" spans="1:17" x14ac:dyDescent="0.25">
      <c r="A25">
        <v>8003879954</v>
      </c>
      <c r="B25">
        <v>28</v>
      </c>
      <c r="C25">
        <v>31032017</v>
      </c>
      <c r="D25">
        <v>341</v>
      </c>
      <c r="E25" t="s">
        <v>29</v>
      </c>
      <c r="F25">
        <v>9938</v>
      </c>
      <c r="G25" s="3">
        <v>15142518</v>
      </c>
      <c r="H25" s="1">
        <v>660</v>
      </c>
      <c r="I25" t="s">
        <v>28</v>
      </c>
      <c r="J25" s="1">
        <v>1919884.64</v>
      </c>
      <c r="K25" t="s">
        <v>26</v>
      </c>
      <c r="L25">
        <v>175052</v>
      </c>
      <c r="M25" t="str">
        <f>"LIANG CHOW MING"</f>
        <v>LIANG CHOW MING</v>
      </c>
      <c r="O25">
        <v>1</v>
      </c>
      <c r="P25" t="str">
        <f>"PGTEFT2196"</f>
        <v>PGTEFT2196</v>
      </c>
      <c r="Q25" t="str">
        <f>"INV19505 19506 19507"</f>
        <v>INV19505 19506 19507</v>
      </c>
    </row>
    <row r="26" spans="1:17" x14ac:dyDescent="0.25">
      <c r="A26">
        <v>8003879954</v>
      </c>
      <c r="B26">
        <v>27</v>
      </c>
      <c r="C26">
        <v>31032017</v>
      </c>
      <c r="D26">
        <v>299</v>
      </c>
      <c r="E26" t="s">
        <v>30</v>
      </c>
      <c r="F26">
        <v>9938</v>
      </c>
      <c r="G26" s="3">
        <v>15142518</v>
      </c>
      <c r="H26" s="1">
        <v>0.01</v>
      </c>
      <c r="I26" t="s">
        <v>28</v>
      </c>
      <c r="J26" s="1">
        <v>1920544.64</v>
      </c>
      <c r="K26" t="s">
        <v>26</v>
      </c>
      <c r="L26">
        <v>175052</v>
      </c>
      <c r="M26" t="str">
        <f>"PGTEFT2196          INV19505 19506 19507"</f>
        <v>PGTEFT2196          INV19505 19506 19507</v>
      </c>
      <c r="O26">
        <v>1</v>
      </c>
    </row>
    <row r="27" spans="1:17" x14ac:dyDescent="0.25">
      <c r="A27">
        <v>8003879954</v>
      </c>
      <c r="B27">
        <v>26</v>
      </c>
      <c r="C27">
        <v>31032017</v>
      </c>
      <c r="D27">
        <v>489</v>
      </c>
      <c r="E27" t="s">
        <v>31</v>
      </c>
      <c r="F27">
        <v>9938</v>
      </c>
      <c r="G27" s="3">
        <v>15142518</v>
      </c>
      <c r="H27" s="1">
        <v>0.1</v>
      </c>
      <c r="I27" t="s">
        <v>28</v>
      </c>
      <c r="J27" s="1">
        <v>1920544.65</v>
      </c>
      <c r="K27" t="s">
        <v>26</v>
      </c>
      <c r="L27">
        <v>175052</v>
      </c>
      <c r="M27" t="str">
        <f>"PGTEFT2196          INV19505 19506 19507"</f>
        <v>PGTEFT2196          INV19505 19506 19507</v>
      </c>
      <c r="O27">
        <v>1</v>
      </c>
    </row>
    <row r="28" spans="1:17" x14ac:dyDescent="0.25">
      <c r="A28">
        <v>8003879954</v>
      </c>
      <c r="B28">
        <v>25</v>
      </c>
      <c r="C28">
        <v>31032017</v>
      </c>
      <c r="D28">
        <v>341</v>
      </c>
      <c r="E28" t="s">
        <v>29</v>
      </c>
      <c r="F28">
        <v>9938</v>
      </c>
      <c r="G28" s="3">
        <v>15142744</v>
      </c>
      <c r="H28" s="1">
        <v>1272</v>
      </c>
      <c r="I28" t="s">
        <v>28</v>
      </c>
      <c r="J28" s="1">
        <v>1920544.75</v>
      </c>
      <c r="K28" t="s">
        <v>26</v>
      </c>
      <c r="L28">
        <v>175052</v>
      </c>
      <c r="M28" t="str">
        <f>"FTZ TRAVEL &amp; TOURS S"</f>
        <v>FTZ TRAVEL &amp; TOURS S</v>
      </c>
      <c r="O28">
        <v>1</v>
      </c>
      <c r="P28" t="str">
        <f>"PGTEFT2194"</f>
        <v>PGTEFT2194</v>
      </c>
      <c r="Q28" t="str">
        <f>"P14183"</f>
        <v>P14183</v>
      </c>
    </row>
    <row r="29" spans="1:17" x14ac:dyDescent="0.25">
      <c r="A29">
        <v>8003879954</v>
      </c>
      <c r="B29">
        <v>24</v>
      </c>
      <c r="C29">
        <v>31032017</v>
      </c>
      <c r="D29">
        <v>299</v>
      </c>
      <c r="E29" t="s">
        <v>30</v>
      </c>
      <c r="F29">
        <v>9938</v>
      </c>
      <c r="G29" s="3">
        <v>15142744</v>
      </c>
      <c r="H29" s="1">
        <v>0.01</v>
      </c>
      <c r="I29" t="s">
        <v>28</v>
      </c>
      <c r="J29" s="1">
        <v>1921816.75</v>
      </c>
      <c r="K29" t="s">
        <v>26</v>
      </c>
      <c r="L29">
        <v>175052</v>
      </c>
      <c r="M29" t="str">
        <f>"PGTEFT2194          P14183"</f>
        <v>PGTEFT2194          P14183</v>
      </c>
      <c r="O29">
        <v>1</v>
      </c>
    </row>
    <row r="30" spans="1:17" x14ac:dyDescent="0.25">
      <c r="A30">
        <v>8003879954</v>
      </c>
      <c r="B30">
        <v>23</v>
      </c>
      <c r="C30">
        <v>31032017</v>
      </c>
      <c r="D30">
        <v>489</v>
      </c>
      <c r="E30" t="s">
        <v>31</v>
      </c>
      <c r="F30">
        <v>9938</v>
      </c>
      <c r="G30" s="3">
        <v>15142744</v>
      </c>
      <c r="H30" s="1">
        <v>0.1</v>
      </c>
      <c r="I30" t="s">
        <v>28</v>
      </c>
      <c r="J30" s="1">
        <v>1921816.76</v>
      </c>
      <c r="K30" t="s">
        <v>26</v>
      </c>
      <c r="L30">
        <v>175052</v>
      </c>
      <c r="M30" t="str">
        <f>"PGTEFT2194          P14183"</f>
        <v>PGTEFT2194          P14183</v>
      </c>
      <c r="O30">
        <v>1</v>
      </c>
    </row>
    <row r="31" spans="1:17" x14ac:dyDescent="0.25">
      <c r="A31">
        <v>8003879954</v>
      </c>
      <c r="B31">
        <v>22</v>
      </c>
      <c r="C31">
        <v>31032017</v>
      </c>
      <c r="D31">
        <v>341</v>
      </c>
      <c r="E31" t="s">
        <v>29</v>
      </c>
      <c r="F31">
        <v>9938</v>
      </c>
      <c r="G31" s="3">
        <v>15141205</v>
      </c>
      <c r="H31" s="1">
        <v>6376.96</v>
      </c>
      <c r="I31" t="s">
        <v>28</v>
      </c>
      <c r="J31" s="1">
        <v>1921816.86</v>
      </c>
      <c r="K31" t="s">
        <v>26</v>
      </c>
      <c r="L31">
        <v>174957</v>
      </c>
      <c r="M31" t="str">
        <f>"INSTANT EXPOSITION S"</f>
        <v>INSTANT EXPOSITION S</v>
      </c>
      <c r="O31">
        <v>1</v>
      </c>
      <c r="P31" t="str">
        <f>"PGTEFT2192"</f>
        <v>PGTEFT2192</v>
      </c>
      <c r="Q31" t="str">
        <f>"INV01753"</f>
        <v>INV01753</v>
      </c>
    </row>
    <row r="32" spans="1:17" x14ac:dyDescent="0.25">
      <c r="A32">
        <v>8003879954</v>
      </c>
      <c r="B32">
        <v>21</v>
      </c>
      <c r="C32">
        <v>31032017</v>
      </c>
      <c r="D32">
        <v>299</v>
      </c>
      <c r="E32" t="s">
        <v>30</v>
      </c>
      <c r="F32">
        <v>9938</v>
      </c>
      <c r="G32" s="3">
        <v>15141205</v>
      </c>
      <c r="H32" s="1">
        <v>0.01</v>
      </c>
      <c r="I32" t="s">
        <v>28</v>
      </c>
      <c r="J32" s="1">
        <v>1928193.82</v>
      </c>
      <c r="K32" t="s">
        <v>26</v>
      </c>
      <c r="L32">
        <v>174957</v>
      </c>
      <c r="M32" t="str">
        <f>"PGTEFT2192          INV01753"</f>
        <v>PGTEFT2192          INV01753</v>
      </c>
      <c r="O32">
        <v>1</v>
      </c>
    </row>
    <row r="33" spans="1:17" x14ac:dyDescent="0.25">
      <c r="A33">
        <v>8003879954</v>
      </c>
      <c r="B33">
        <v>20</v>
      </c>
      <c r="C33">
        <v>31032017</v>
      </c>
      <c r="D33">
        <v>489</v>
      </c>
      <c r="E33" t="s">
        <v>31</v>
      </c>
      <c r="F33">
        <v>9938</v>
      </c>
      <c r="G33" s="3">
        <v>15141205</v>
      </c>
      <c r="H33" s="1">
        <v>0.1</v>
      </c>
      <c r="I33" t="s">
        <v>28</v>
      </c>
      <c r="J33" s="1">
        <v>1928193.83</v>
      </c>
      <c r="K33" t="s">
        <v>26</v>
      </c>
      <c r="L33">
        <v>174957</v>
      </c>
      <c r="M33" t="str">
        <f>"PGTEFT2192          INV01753"</f>
        <v>PGTEFT2192          INV01753</v>
      </c>
      <c r="O33">
        <v>1</v>
      </c>
    </row>
    <row r="34" spans="1:17" x14ac:dyDescent="0.25">
      <c r="A34">
        <v>8003879954</v>
      </c>
      <c r="B34">
        <v>19</v>
      </c>
      <c r="C34">
        <v>31032017</v>
      </c>
      <c r="D34">
        <v>60</v>
      </c>
      <c r="E34" t="s">
        <v>43</v>
      </c>
      <c r="F34">
        <v>9938</v>
      </c>
      <c r="G34" s="3">
        <v>15141985</v>
      </c>
      <c r="H34" s="1">
        <v>360</v>
      </c>
      <c r="I34" t="s">
        <v>28</v>
      </c>
      <c r="J34" s="1">
        <v>1928193.93</v>
      </c>
      <c r="K34" t="s">
        <v>26</v>
      </c>
      <c r="L34">
        <v>174955</v>
      </c>
      <c r="M34" t="str">
        <f>"GUIDE FEE FOR MARCH TOH KIM HOCK"</f>
        <v>GUIDE FEE FOR MARCH TOH KIM HOCK</v>
      </c>
      <c r="O34">
        <v>1</v>
      </c>
      <c r="P34" t="str">
        <f>"PGTEFT2201"</f>
        <v>PGTEFT2201</v>
      </c>
      <c r="Q34" t="str">
        <f>"INV96T INV97T"</f>
        <v>INV96T INV97T</v>
      </c>
    </row>
    <row r="35" spans="1:17" x14ac:dyDescent="0.25">
      <c r="A35">
        <v>8003879954</v>
      </c>
      <c r="B35">
        <v>18</v>
      </c>
      <c r="C35">
        <v>31032017</v>
      </c>
      <c r="D35">
        <v>341</v>
      </c>
      <c r="E35" t="s">
        <v>29</v>
      </c>
      <c r="F35">
        <v>9938</v>
      </c>
      <c r="G35" s="3">
        <v>15141902</v>
      </c>
      <c r="H35" s="1">
        <v>1500</v>
      </c>
      <c r="I35" t="s">
        <v>28</v>
      </c>
      <c r="J35" s="1">
        <v>1928553.93</v>
      </c>
      <c r="K35" t="s">
        <v>26</v>
      </c>
      <c r="L35">
        <v>174953</v>
      </c>
      <c r="M35" t="str">
        <f>"TAY YI LIN"</f>
        <v>TAY YI LIN</v>
      </c>
      <c r="O35">
        <v>1</v>
      </c>
      <c r="P35" t="str">
        <f>"PGTEFT2202"</f>
        <v>PGTEFT2202</v>
      </c>
      <c r="Q35" t="str">
        <f>"C001"</f>
        <v>C001</v>
      </c>
    </row>
    <row r="36" spans="1:17" x14ac:dyDescent="0.25">
      <c r="A36">
        <v>8003879954</v>
      </c>
      <c r="B36">
        <v>17</v>
      </c>
      <c r="C36">
        <v>31032017</v>
      </c>
      <c r="D36">
        <v>299</v>
      </c>
      <c r="E36" t="s">
        <v>30</v>
      </c>
      <c r="F36">
        <v>9938</v>
      </c>
      <c r="G36" s="3">
        <v>15141902</v>
      </c>
      <c r="H36" s="1">
        <v>0.01</v>
      </c>
      <c r="I36" t="s">
        <v>28</v>
      </c>
      <c r="J36" s="1">
        <v>1930053.93</v>
      </c>
      <c r="K36" t="s">
        <v>26</v>
      </c>
      <c r="L36">
        <v>174953</v>
      </c>
      <c r="M36" t="str">
        <f>"PGTEFT2202          C001"</f>
        <v>PGTEFT2202          C001</v>
      </c>
      <c r="O36">
        <v>1</v>
      </c>
    </row>
    <row r="37" spans="1:17" x14ac:dyDescent="0.25">
      <c r="A37">
        <v>8003879954</v>
      </c>
      <c r="B37">
        <v>16</v>
      </c>
      <c r="C37">
        <v>31032017</v>
      </c>
      <c r="D37">
        <v>489</v>
      </c>
      <c r="E37" t="s">
        <v>31</v>
      </c>
      <c r="F37">
        <v>9938</v>
      </c>
      <c r="G37" s="3">
        <v>15141902</v>
      </c>
      <c r="H37" s="1">
        <v>0.1</v>
      </c>
      <c r="I37" t="s">
        <v>28</v>
      </c>
      <c r="J37" s="1">
        <v>1930053.94</v>
      </c>
      <c r="K37" t="s">
        <v>26</v>
      </c>
      <c r="L37">
        <v>174953</v>
      </c>
      <c r="M37" t="str">
        <f>"PGTEFT2202          C001"</f>
        <v>PGTEFT2202          C001</v>
      </c>
      <c r="O37">
        <v>1</v>
      </c>
    </row>
    <row r="38" spans="1:17" x14ac:dyDescent="0.25">
      <c r="A38">
        <v>8003879954</v>
      </c>
      <c r="B38">
        <v>15</v>
      </c>
      <c r="C38">
        <v>31032017</v>
      </c>
      <c r="D38">
        <v>341</v>
      </c>
      <c r="E38" t="s">
        <v>29</v>
      </c>
      <c r="F38">
        <v>9938</v>
      </c>
      <c r="G38" s="3">
        <v>15142072</v>
      </c>
      <c r="H38" s="1">
        <v>80.7</v>
      </c>
      <c r="I38" t="s">
        <v>28</v>
      </c>
      <c r="J38" s="1">
        <v>1930054.04</v>
      </c>
      <c r="K38" t="s">
        <v>26</v>
      </c>
      <c r="L38">
        <v>174953</v>
      </c>
      <c r="M38" t="str">
        <f>"TNT EXPRESS WORLDWID"</f>
        <v>TNT EXPRESS WORLDWID</v>
      </c>
      <c r="O38">
        <v>1</v>
      </c>
      <c r="P38" t="str">
        <f>"PGTEFT2200"</f>
        <v>PGTEFT2200</v>
      </c>
      <c r="Q38" t="str">
        <f>"INV07150939"</f>
        <v>INV07150939</v>
      </c>
    </row>
    <row r="39" spans="1:17" x14ac:dyDescent="0.25">
      <c r="A39">
        <v>8003879954</v>
      </c>
      <c r="B39">
        <v>14</v>
      </c>
      <c r="C39">
        <v>31032017</v>
      </c>
      <c r="D39">
        <v>299</v>
      </c>
      <c r="E39" t="s">
        <v>30</v>
      </c>
      <c r="F39">
        <v>9938</v>
      </c>
      <c r="G39" s="3">
        <v>15142072</v>
      </c>
      <c r="H39" s="1">
        <v>0.01</v>
      </c>
      <c r="I39" t="s">
        <v>28</v>
      </c>
      <c r="J39" s="1">
        <v>1930134.74</v>
      </c>
      <c r="K39" t="s">
        <v>26</v>
      </c>
      <c r="L39">
        <v>174953</v>
      </c>
      <c r="M39" t="str">
        <f>"PGTEFT2200          INV07150939"</f>
        <v>PGTEFT2200          INV07150939</v>
      </c>
      <c r="O39">
        <v>1</v>
      </c>
    </row>
    <row r="40" spans="1:17" x14ac:dyDescent="0.25">
      <c r="A40">
        <v>8003879954</v>
      </c>
      <c r="B40">
        <v>13</v>
      </c>
      <c r="C40">
        <v>31032017</v>
      </c>
      <c r="D40">
        <v>489</v>
      </c>
      <c r="E40" t="s">
        <v>31</v>
      </c>
      <c r="F40">
        <v>9938</v>
      </c>
      <c r="G40" s="3">
        <v>15142072</v>
      </c>
      <c r="H40" s="1">
        <v>0.1</v>
      </c>
      <c r="I40" t="s">
        <v>28</v>
      </c>
      <c r="J40" s="1">
        <v>1930134.75</v>
      </c>
      <c r="K40" t="s">
        <v>26</v>
      </c>
      <c r="L40">
        <v>174953</v>
      </c>
      <c r="M40" t="str">
        <f>"PGTEFT2200          INV07150939"</f>
        <v>PGTEFT2200          INV07150939</v>
      </c>
      <c r="O40">
        <v>1</v>
      </c>
    </row>
    <row r="41" spans="1:17" x14ac:dyDescent="0.25">
      <c r="A41">
        <v>8003879954</v>
      </c>
      <c r="B41">
        <v>12</v>
      </c>
      <c r="C41">
        <v>31032017</v>
      </c>
      <c r="D41">
        <v>141</v>
      </c>
      <c r="E41" t="s">
        <v>48</v>
      </c>
      <c r="F41">
        <v>2001</v>
      </c>
      <c r="G41" s="3">
        <v>17001330</v>
      </c>
      <c r="H41" s="1">
        <v>1000000</v>
      </c>
      <c r="I41" t="s">
        <v>26</v>
      </c>
      <c r="J41" s="1">
        <v>1930134.85</v>
      </c>
      <c r="K41" t="s">
        <v>26</v>
      </c>
      <c r="L41">
        <v>104422</v>
      </c>
      <c r="M41" t="str">
        <f>"PDC/PV17001330 DANA OPERASI FASA PE"</f>
        <v>PDC/PV17001330 DANA OPERASI FASA PE</v>
      </c>
      <c r="O41">
        <v>1</v>
      </c>
      <c r="P41" t="str">
        <f>"PDC/PV17001330 DANA"</f>
        <v>PDC/PV17001330 DANA</v>
      </c>
      <c r="Q41" t="str">
        <f>"Transfer from CIMB"</f>
        <v>Transfer from CIMB</v>
      </c>
    </row>
    <row r="42" spans="1:17" x14ac:dyDescent="0.25">
      <c r="A42">
        <v>8003879954</v>
      </c>
      <c r="B42">
        <v>11</v>
      </c>
      <c r="C42">
        <v>31032017</v>
      </c>
      <c r="D42">
        <v>341</v>
      </c>
      <c r="E42" t="s">
        <v>29</v>
      </c>
      <c r="F42">
        <v>9938</v>
      </c>
      <c r="G42" s="3">
        <v>15076387</v>
      </c>
      <c r="H42" s="1">
        <v>363.09</v>
      </c>
      <c r="I42" t="s">
        <v>28</v>
      </c>
      <c r="J42" s="1">
        <v>930134.85</v>
      </c>
      <c r="K42" t="s">
        <v>26</v>
      </c>
      <c r="L42">
        <v>83724</v>
      </c>
      <c r="M42" t="str">
        <f>"AKAUN PUNGUTAN POTON"</f>
        <v>AKAUN PUNGUTAN POTON</v>
      </c>
      <c r="O42">
        <v>1</v>
      </c>
      <c r="P42" t="str">
        <f>"PGTEFT2148"</f>
        <v>PGTEFT2148</v>
      </c>
      <c r="Q42" t="str">
        <f>"PTPTN LOAN"</f>
        <v>PTPTN LOAN</v>
      </c>
    </row>
    <row r="43" spans="1:17" x14ac:dyDescent="0.25">
      <c r="A43">
        <v>8003879954</v>
      </c>
      <c r="B43">
        <v>10</v>
      </c>
      <c r="C43">
        <v>31032017</v>
      </c>
      <c r="D43">
        <v>299</v>
      </c>
      <c r="E43" t="s">
        <v>30</v>
      </c>
      <c r="F43">
        <v>9938</v>
      </c>
      <c r="G43" s="3">
        <v>15076387</v>
      </c>
      <c r="H43" s="1">
        <v>0.01</v>
      </c>
      <c r="I43" t="s">
        <v>28</v>
      </c>
      <c r="J43" s="1">
        <v>930497.94</v>
      </c>
      <c r="K43" t="s">
        <v>26</v>
      </c>
      <c r="L43">
        <v>83724</v>
      </c>
      <c r="M43" t="str">
        <f>"PGTEFT2148          PTPTN LOAN"</f>
        <v>PGTEFT2148          PTPTN LOAN</v>
      </c>
      <c r="O43">
        <v>1</v>
      </c>
    </row>
    <row r="44" spans="1:17" x14ac:dyDescent="0.25">
      <c r="A44">
        <v>8003879954</v>
      </c>
      <c r="B44">
        <v>9</v>
      </c>
      <c r="C44">
        <v>31032017</v>
      </c>
      <c r="D44">
        <v>489</v>
      </c>
      <c r="E44" t="s">
        <v>31</v>
      </c>
      <c r="F44">
        <v>9938</v>
      </c>
      <c r="G44" s="3">
        <v>15076387</v>
      </c>
      <c r="H44" s="1">
        <v>0.1</v>
      </c>
      <c r="I44" t="s">
        <v>28</v>
      </c>
      <c r="J44" s="1">
        <v>930497.95</v>
      </c>
      <c r="K44" t="s">
        <v>26</v>
      </c>
      <c r="L44">
        <v>83724</v>
      </c>
      <c r="M44" t="str">
        <f>"PGTEFT2148          PTPTN LOAN"</f>
        <v>PGTEFT2148          PTPTN LOAN</v>
      </c>
      <c r="O44">
        <v>1</v>
      </c>
    </row>
    <row r="45" spans="1:17" x14ac:dyDescent="0.25">
      <c r="A45">
        <v>8003879954</v>
      </c>
      <c r="B45">
        <v>8</v>
      </c>
      <c r="C45">
        <v>31032017</v>
      </c>
      <c r="D45">
        <v>345</v>
      </c>
      <c r="E45" t="s">
        <v>27</v>
      </c>
      <c r="F45">
        <v>9938</v>
      </c>
      <c r="G45" s="3">
        <v>15077931</v>
      </c>
      <c r="H45" s="1">
        <v>214.5</v>
      </c>
      <c r="I45" t="s">
        <v>28</v>
      </c>
      <c r="J45" s="1">
        <v>930498.05</v>
      </c>
      <c r="K45" t="s">
        <v>26</v>
      </c>
      <c r="L45">
        <v>83222</v>
      </c>
      <c r="M45" t="str">
        <f>"FOR MARCH CHEW PEI YING"</f>
        <v>FOR MARCH CHEW PEI YING</v>
      </c>
      <c r="O45">
        <v>1</v>
      </c>
      <c r="P45" t="str">
        <f>"PGTEFT2190"</f>
        <v>PGTEFT2190</v>
      </c>
      <c r="Q45" t="str">
        <f>"TRAINEE ALLOWANCE"</f>
        <v>TRAINEE ALLOWANCE</v>
      </c>
    </row>
    <row r="46" spans="1:17" x14ac:dyDescent="0.25">
      <c r="A46">
        <v>8003879954</v>
      </c>
      <c r="B46">
        <v>7</v>
      </c>
      <c r="C46">
        <v>31032017</v>
      </c>
      <c r="D46">
        <v>345</v>
      </c>
      <c r="E46" t="s">
        <v>27</v>
      </c>
      <c r="F46">
        <v>9938</v>
      </c>
      <c r="G46" s="3">
        <v>15078250</v>
      </c>
      <c r="H46" s="1">
        <v>350</v>
      </c>
      <c r="I46" t="s">
        <v>28</v>
      </c>
      <c r="J46" s="1">
        <v>930712.55</v>
      </c>
      <c r="K46" t="s">
        <v>26</v>
      </c>
      <c r="L46">
        <v>83137</v>
      </c>
      <c r="M46" t="str">
        <f>"MARCH'17 NUR NASYHA IZZATY B"</f>
        <v>MARCH'17 NUR NASYHA IZZATY B</v>
      </c>
      <c r="O46">
        <v>1</v>
      </c>
      <c r="P46" t="str">
        <f>"PGTEFT2189"</f>
        <v>PGTEFT2189</v>
      </c>
      <c r="Q46" t="str">
        <f>"TRAINEE ALLOWANCE"</f>
        <v>TRAINEE ALLOWANCE</v>
      </c>
    </row>
    <row r="47" spans="1:17" x14ac:dyDescent="0.25">
      <c r="A47">
        <v>8003879954</v>
      </c>
      <c r="B47">
        <v>6</v>
      </c>
      <c r="C47">
        <v>31032017</v>
      </c>
      <c r="D47">
        <v>341</v>
      </c>
      <c r="E47" t="s">
        <v>29</v>
      </c>
      <c r="F47">
        <v>9938</v>
      </c>
      <c r="G47" s="3">
        <v>15064787</v>
      </c>
      <c r="H47" s="1">
        <v>2500</v>
      </c>
      <c r="I47" t="s">
        <v>28</v>
      </c>
      <c r="J47" s="1">
        <v>931062.55</v>
      </c>
      <c r="K47" t="s">
        <v>26</v>
      </c>
      <c r="L47">
        <v>81553</v>
      </c>
      <c r="M47" t="str">
        <f>"OON KOK EU"</f>
        <v>OON KOK EU</v>
      </c>
      <c r="O47">
        <v>1</v>
      </c>
      <c r="P47" t="str">
        <f>"PGTEFT2188"</f>
        <v>PGTEFT2188</v>
      </c>
      <c r="Q47" t="str">
        <f>"BROCHURE DISTRIBUTIO"</f>
        <v>BROCHURE DISTRIBUTIO</v>
      </c>
    </row>
    <row r="48" spans="1:17" x14ac:dyDescent="0.25">
      <c r="A48">
        <v>8003879954</v>
      </c>
      <c r="B48">
        <v>5</v>
      </c>
      <c r="C48">
        <v>31032017</v>
      </c>
      <c r="D48">
        <v>299</v>
      </c>
      <c r="E48" t="s">
        <v>30</v>
      </c>
      <c r="F48">
        <v>9938</v>
      </c>
      <c r="G48" s="3">
        <v>15064787</v>
      </c>
      <c r="H48" s="1">
        <v>0.01</v>
      </c>
      <c r="I48" t="s">
        <v>28</v>
      </c>
      <c r="J48" s="1">
        <v>933562.55</v>
      </c>
      <c r="K48" t="s">
        <v>26</v>
      </c>
      <c r="L48">
        <v>81553</v>
      </c>
      <c r="M48" t="str">
        <f>"PGTEFT2188          BROCHURE DISTRIBUTIO"</f>
        <v>PGTEFT2188          BROCHURE DISTRIBUTIO</v>
      </c>
      <c r="O48">
        <v>1</v>
      </c>
    </row>
    <row r="49" spans="1:17" x14ac:dyDescent="0.25">
      <c r="A49">
        <v>8003879954</v>
      </c>
      <c r="B49">
        <v>4</v>
      </c>
      <c r="C49">
        <v>31032017</v>
      </c>
      <c r="D49">
        <v>489</v>
      </c>
      <c r="E49" t="s">
        <v>31</v>
      </c>
      <c r="F49">
        <v>9938</v>
      </c>
      <c r="G49" s="3">
        <v>15064787</v>
      </c>
      <c r="H49" s="1">
        <v>0.1</v>
      </c>
      <c r="I49" t="s">
        <v>28</v>
      </c>
      <c r="J49" s="1">
        <v>933562.56</v>
      </c>
      <c r="K49" t="s">
        <v>26</v>
      </c>
      <c r="L49">
        <v>81553</v>
      </c>
      <c r="M49" t="str">
        <f>"PGTEFT2188          BROCHURE DISTRIBUTIO"</f>
        <v>PGTEFT2188          BROCHURE DISTRIBUTIO</v>
      </c>
      <c r="O49">
        <v>1</v>
      </c>
    </row>
    <row r="50" spans="1:17" x14ac:dyDescent="0.25">
      <c r="A50">
        <v>8003879954</v>
      </c>
      <c r="B50">
        <v>3</v>
      </c>
      <c r="C50">
        <v>31032017</v>
      </c>
      <c r="D50">
        <v>299</v>
      </c>
      <c r="E50" t="s">
        <v>30</v>
      </c>
      <c r="F50">
        <v>2001</v>
      </c>
      <c r="G50" s="3">
        <v>98995434</v>
      </c>
      <c r="H50" s="1">
        <v>2.0699999999999998</v>
      </c>
      <c r="I50" t="s">
        <v>28</v>
      </c>
      <c r="J50" s="1">
        <v>933562.66</v>
      </c>
      <c r="K50" t="s">
        <v>26</v>
      </c>
      <c r="L50">
        <v>70406</v>
      </c>
      <c r="M50" t="str">
        <f>"98995434"</f>
        <v>98995434</v>
      </c>
      <c r="O50">
        <v>1</v>
      </c>
    </row>
    <row r="51" spans="1:17" x14ac:dyDescent="0.25">
      <c r="A51">
        <v>8003879954</v>
      </c>
      <c r="B51">
        <v>2</v>
      </c>
      <c r="C51">
        <v>31032017</v>
      </c>
      <c r="D51">
        <v>489</v>
      </c>
      <c r="E51" t="s">
        <v>50</v>
      </c>
      <c r="F51">
        <v>2001</v>
      </c>
      <c r="G51" s="3">
        <v>98995434</v>
      </c>
      <c r="H51" s="1">
        <v>34.5</v>
      </c>
      <c r="I51" t="s">
        <v>28</v>
      </c>
      <c r="J51" s="1">
        <v>933564.73</v>
      </c>
      <c r="K51" t="s">
        <v>26</v>
      </c>
      <c r="L51">
        <v>70406</v>
      </c>
      <c r="M51" t="str">
        <f>"98995434"</f>
        <v>98995434</v>
      </c>
      <c r="O51">
        <v>1</v>
      </c>
    </row>
    <row r="52" spans="1:17" x14ac:dyDescent="0.25">
      <c r="A52">
        <v>8003879954</v>
      </c>
      <c r="B52">
        <v>1</v>
      </c>
      <c r="C52">
        <v>31032017</v>
      </c>
      <c r="D52">
        <v>341</v>
      </c>
      <c r="E52" t="s">
        <v>51</v>
      </c>
      <c r="F52">
        <v>2001</v>
      </c>
      <c r="G52" s="3">
        <v>98005434</v>
      </c>
      <c r="H52" s="1">
        <v>80057.490000000005</v>
      </c>
      <c r="I52" t="s">
        <v>28</v>
      </c>
      <c r="J52" s="1">
        <v>933599.23</v>
      </c>
      <c r="K52" t="s">
        <v>26</v>
      </c>
      <c r="L52">
        <v>70400</v>
      </c>
      <c r="M52" t="str">
        <f>"98005434"</f>
        <v>98005434</v>
      </c>
      <c r="O52">
        <v>1</v>
      </c>
      <c r="Q52" t="str">
        <f>"Bulk Payment"</f>
        <v>Bulk Payment</v>
      </c>
    </row>
    <row r="53" spans="1:17" x14ac:dyDescent="0.25">
      <c r="A53">
        <v>8003879954</v>
      </c>
      <c r="B53">
        <v>21</v>
      </c>
      <c r="C53">
        <v>30032017</v>
      </c>
      <c r="D53">
        <v>60</v>
      </c>
      <c r="E53" t="s">
        <v>43</v>
      </c>
      <c r="F53">
        <v>9938</v>
      </c>
      <c r="G53" s="3">
        <v>15065522</v>
      </c>
      <c r="H53" s="1">
        <v>2067</v>
      </c>
      <c r="I53" t="s">
        <v>28</v>
      </c>
      <c r="J53" s="1">
        <v>1013656.72</v>
      </c>
      <c r="K53" t="s">
        <v>26</v>
      </c>
      <c r="L53">
        <v>194837</v>
      </c>
      <c r="M53" t="str">
        <f>"HOHO RIDE ON 8/2,8/3 ELANG WAH SDN. BHD."</f>
        <v>HOHO RIDE ON 8/2,8/3 ELANG WAH SDN. BHD.</v>
      </c>
      <c r="O53">
        <v>1</v>
      </c>
      <c r="P53" t="str">
        <f>"PGTEFT2186"</f>
        <v>PGTEFT2186</v>
      </c>
      <c r="Q53" t="str">
        <f>"LFSS"</f>
        <v>LFSS</v>
      </c>
    </row>
    <row r="54" spans="1:17" x14ac:dyDescent="0.25">
      <c r="A54">
        <v>8003879954</v>
      </c>
      <c r="B54">
        <v>20</v>
      </c>
      <c r="C54">
        <v>30032017</v>
      </c>
      <c r="D54">
        <v>341</v>
      </c>
      <c r="E54" t="s">
        <v>29</v>
      </c>
      <c r="F54">
        <v>9938</v>
      </c>
      <c r="G54" s="3">
        <v>15064981</v>
      </c>
      <c r="H54" s="1">
        <v>8480</v>
      </c>
      <c r="I54" t="s">
        <v>28</v>
      </c>
      <c r="J54" s="1">
        <v>1015723.72</v>
      </c>
      <c r="K54" t="s">
        <v>26</v>
      </c>
      <c r="L54">
        <v>194836</v>
      </c>
      <c r="M54" t="str">
        <f>"HOP ON MEDIA SDN BHD"</f>
        <v>HOP ON MEDIA SDN BHD</v>
      </c>
      <c r="O54">
        <v>1</v>
      </c>
      <c r="P54" t="str">
        <f>"PGTEFT2187"</f>
        <v>PGTEFT2187</v>
      </c>
      <c r="Q54" t="str">
        <f>"RENT-0227-17-PGTSB03"</f>
        <v>RENT-0227-17-PGTSB03</v>
      </c>
    </row>
    <row r="55" spans="1:17" x14ac:dyDescent="0.25">
      <c r="A55">
        <v>8003879954</v>
      </c>
      <c r="B55">
        <v>19</v>
      </c>
      <c r="C55">
        <v>30032017</v>
      </c>
      <c r="D55">
        <v>299</v>
      </c>
      <c r="E55" t="s">
        <v>30</v>
      </c>
      <c r="F55">
        <v>9938</v>
      </c>
      <c r="G55" s="3">
        <v>15064981</v>
      </c>
      <c r="H55" s="1">
        <v>0.01</v>
      </c>
      <c r="I55" t="s">
        <v>28</v>
      </c>
      <c r="J55" s="1">
        <v>1024203.72</v>
      </c>
      <c r="K55" t="s">
        <v>26</v>
      </c>
      <c r="L55">
        <v>194836</v>
      </c>
      <c r="M55" t="str">
        <f>"PGTEFT2187          RENT-0227-17-PGTSB03"</f>
        <v>PGTEFT2187          RENT-0227-17-PGTSB03</v>
      </c>
      <c r="O55">
        <v>1</v>
      </c>
    </row>
    <row r="56" spans="1:17" x14ac:dyDescent="0.25">
      <c r="A56">
        <v>8003879954</v>
      </c>
      <c r="B56">
        <v>18</v>
      </c>
      <c r="C56">
        <v>30032017</v>
      </c>
      <c r="D56">
        <v>489</v>
      </c>
      <c r="E56" t="s">
        <v>31</v>
      </c>
      <c r="F56">
        <v>9938</v>
      </c>
      <c r="G56" s="3">
        <v>15064981</v>
      </c>
      <c r="H56" s="1">
        <v>0.1</v>
      </c>
      <c r="I56" t="s">
        <v>28</v>
      </c>
      <c r="J56" s="1">
        <v>1024203.73</v>
      </c>
      <c r="K56" t="s">
        <v>26</v>
      </c>
      <c r="L56">
        <v>194836</v>
      </c>
      <c r="M56" t="str">
        <f>"PGTEFT2187          RENT-0227-17-PGTSB03"</f>
        <v>PGTEFT2187          RENT-0227-17-PGTSB03</v>
      </c>
      <c r="O56">
        <v>1</v>
      </c>
    </row>
    <row r="57" spans="1:17" x14ac:dyDescent="0.25">
      <c r="A57">
        <v>8003879954</v>
      </c>
      <c r="B57">
        <v>17</v>
      </c>
      <c r="C57">
        <v>30032017</v>
      </c>
      <c r="D57">
        <v>341</v>
      </c>
      <c r="E57" t="s">
        <v>29</v>
      </c>
      <c r="F57">
        <v>9938</v>
      </c>
      <c r="G57" s="3">
        <v>15065851</v>
      </c>
      <c r="H57" s="1">
        <v>1433.76</v>
      </c>
      <c r="I57" t="s">
        <v>28</v>
      </c>
      <c r="J57" s="1">
        <v>1024203.83</v>
      </c>
      <c r="K57" t="s">
        <v>26</v>
      </c>
      <c r="L57">
        <v>194836</v>
      </c>
      <c r="M57" t="str">
        <f>"TNT EXPRESS WORLDWID"</f>
        <v>TNT EXPRESS WORLDWID</v>
      </c>
      <c r="O57">
        <v>1</v>
      </c>
      <c r="P57" t="str">
        <f>"PGTEFT2185"</f>
        <v>PGTEFT2185</v>
      </c>
      <c r="Q57" t="str">
        <f>"233560"</f>
        <v>233560</v>
      </c>
    </row>
    <row r="58" spans="1:17" x14ac:dyDescent="0.25">
      <c r="A58">
        <v>8003879954</v>
      </c>
      <c r="B58">
        <v>16</v>
      </c>
      <c r="C58">
        <v>30032017</v>
      </c>
      <c r="D58">
        <v>299</v>
      </c>
      <c r="E58" t="s">
        <v>30</v>
      </c>
      <c r="F58">
        <v>9938</v>
      </c>
      <c r="G58" s="3">
        <v>15065851</v>
      </c>
      <c r="H58" s="1">
        <v>0.01</v>
      </c>
      <c r="I58" t="s">
        <v>28</v>
      </c>
      <c r="J58" s="1">
        <v>1025637.59</v>
      </c>
      <c r="K58" t="s">
        <v>26</v>
      </c>
      <c r="L58">
        <v>194836</v>
      </c>
      <c r="M58" t="str">
        <f>"PGTEFT2185          233560"</f>
        <v>PGTEFT2185          233560</v>
      </c>
      <c r="O58">
        <v>1</v>
      </c>
    </row>
    <row r="59" spans="1:17" x14ac:dyDescent="0.25">
      <c r="A59">
        <v>8003879954</v>
      </c>
      <c r="B59">
        <v>15</v>
      </c>
      <c r="C59">
        <v>30032017</v>
      </c>
      <c r="D59">
        <v>489</v>
      </c>
      <c r="E59" t="s">
        <v>31</v>
      </c>
      <c r="F59">
        <v>9938</v>
      </c>
      <c r="G59" s="3">
        <v>15065851</v>
      </c>
      <c r="H59" s="1">
        <v>0.1</v>
      </c>
      <c r="I59" t="s">
        <v>28</v>
      </c>
      <c r="J59" s="1">
        <v>1025637.6</v>
      </c>
      <c r="K59" t="s">
        <v>26</v>
      </c>
      <c r="L59">
        <v>194836</v>
      </c>
      <c r="M59" t="str">
        <f>"PGTEFT2185          233560"</f>
        <v>PGTEFT2185          233560</v>
      </c>
      <c r="O59">
        <v>1</v>
      </c>
    </row>
    <row r="60" spans="1:17" x14ac:dyDescent="0.25">
      <c r="A60">
        <v>8003879954</v>
      </c>
      <c r="B60">
        <v>14</v>
      </c>
      <c r="C60">
        <v>30032017</v>
      </c>
      <c r="D60">
        <v>345</v>
      </c>
      <c r="E60" t="s">
        <v>27</v>
      </c>
      <c r="F60">
        <v>9938</v>
      </c>
      <c r="G60" s="3">
        <v>15074702</v>
      </c>
      <c r="H60" s="1">
        <v>1800</v>
      </c>
      <c r="I60" t="s">
        <v>28</v>
      </c>
      <c r="J60" s="1">
        <v>1025637.7</v>
      </c>
      <c r="K60" t="s">
        <v>26</v>
      </c>
      <c r="L60">
        <v>194145</v>
      </c>
      <c r="M60" t="str">
        <f>"PIFF NG SEE LOK"</f>
        <v>PIFF NG SEE LOK</v>
      </c>
      <c r="O60">
        <v>1</v>
      </c>
      <c r="P60" t="str">
        <f>"PGTEFT2183"</f>
        <v>PGTEFT2183</v>
      </c>
      <c r="Q60" t="str">
        <f>"ADVANCE PAYMENT"</f>
        <v>ADVANCE PAYMENT</v>
      </c>
    </row>
    <row r="61" spans="1:17" x14ac:dyDescent="0.25">
      <c r="A61">
        <v>8003879954</v>
      </c>
      <c r="B61">
        <v>13</v>
      </c>
      <c r="C61">
        <v>30032017</v>
      </c>
      <c r="D61">
        <v>341</v>
      </c>
      <c r="E61" t="s">
        <v>29</v>
      </c>
      <c r="F61">
        <v>9938</v>
      </c>
      <c r="G61" s="3">
        <v>15075147</v>
      </c>
      <c r="H61" s="1">
        <v>3504.88</v>
      </c>
      <c r="I61" t="s">
        <v>28</v>
      </c>
      <c r="J61" s="1">
        <v>1027437.7</v>
      </c>
      <c r="K61" t="s">
        <v>26</v>
      </c>
      <c r="L61">
        <v>194145</v>
      </c>
      <c r="M61" t="str">
        <f>"ELITE TRANSLATION AS"</f>
        <v>ELITE TRANSLATION AS</v>
      </c>
      <c r="O61">
        <v>1</v>
      </c>
      <c r="P61" t="str">
        <f>"PGTEFT2181"</f>
        <v>PGTEFT2181</v>
      </c>
      <c r="Q61" t="str">
        <f>"S1701004"</f>
        <v>S1701004</v>
      </c>
    </row>
    <row r="62" spans="1:17" x14ac:dyDescent="0.25">
      <c r="A62">
        <v>8003879954</v>
      </c>
      <c r="B62">
        <v>12</v>
      </c>
      <c r="C62">
        <v>30032017</v>
      </c>
      <c r="D62">
        <v>299</v>
      </c>
      <c r="E62" t="s">
        <v>30</v>
      </c>
      <c r="F62">
        <v>9938</v>
      </c>
      <c r="G62" s="3">
        <v>15075147</v>
      </c>
      <c r="H62" s="1">
        <v>0.01</v>
      </c>
      <c r="I62" t="s">
        <v>28</v>
      </c>
      <c r="J62" s="1">
        <v>1030942.58</v>
      </c>
      <c r="K62" t="s">
        <v>26</v>
      </c>
      <c r="L62">
        <v>194145</v>
      </c>
      <c r="M62" t="str">
        <f>"PGTEFT2181          S1701004"</f>
        <v>PGTEFT2181          S1701004</v>
      </c>
      <c r="O62">
        <v>1</v>
      </c>
    </row>
    <row r="63" spans="1:17" x14ac:dyDescent="0.25">
      <c r="A63">
        <v>8003879954</v>
      </c>
      <c r="B63">
        <v>11</v>
      </c>
      <c r="C63">
        <v>30032017</v>
      </c>
      <c r="D63">
        <v>489</v>
      </c>
      <c r="E63" t="s">
        <v>31</v>
      </c>
      <c r="F63">
        <v>9938</v>
      </c>
      <c r="G63" s="3">
        <v>15075147</v>
      </c>
      <c r="H63" s="1">
        <v>0.1</v>
      </c>
      <c r="I63" t="s">
        <v>28</v>
      </c>
      <c r="J63" s="1">
        <v>1030942.59</v>
      </c>
      <c r="K63" t="s">
        <v>26</v>
      </c>
      <c r="L63">
        <v>194145</v>
      </c>
      <c r="M63" t="str">
        <f>"PGTEFT2181          S1701004"</f>
        <v>PGTEFT2181          S1701004</v>
      </c>
      <c r="O63">
        <v>1</v>
      </c>
    </row>
    <row r="64" spans="1:17" x14ac:dyDescent="0.25">
      <c r="A64">
        <v>8003879954</v>
      </c>
      <c r="B64">
        <v>10</v>
      </c>
      <c r="C64">
        <v>30032017</v>
      </c>
      <c r="D64">
        <v>60</v>
      </c>
      <c r="E64" t="s">
        <v>43</v>
      </c>
      <c r="F64">
        <v>9938</v>
      </c>
      <c r="G64" s="3">
        <v>15075597</v>
      </c>
      <c r="H64" s="1">
        <v>390</v>
      </c>
      <c r="I64" t="s">
        <v>28</v>
      </c>
      <c r="J64" s="1">
        <v>1030942.69</v>
      </c>
      <c r="K64" t="s">
        <v>26</v>
      </c>
      <c r="L64">
        <v>194144</v>
      </c>
      <c r="M64" t="str">
        <f>"PAYROLL - MARCH CORPORATENET ADVISO"</f>
        <v>PAYROLL - MARCH CORPORATENET ADVISO</v>
      </c>
      <c r="O64">
        <v>1</v>
      </c>
      <c r="P64" t="str">
        <f>"PGTEFT2180"</f>
        <v>PGTEFT2180</v>
      </c>
      <c r="Q64" t="str">
        <f>"CA17-0046"</f>
        <v>CA17-0046</v>
      </c>
    </row>
    <row r="65" spans="1:17" x14ac:dyDescent="0.25">
      <c r="A65">
        <v>8003879954</v>
      </c>
      <c r="B65">
        <v>9</v>
      </c>
      <c r="C65">
        <v>30032017</v>
      </c>
      <c r="D65">
        <v>341</v>
      </c>
      <c r="E65" t="s">
        <v>29</v>
      </c>
      <c r="F65">
        <v>9938</v>
      </c>
      <c r="G65" s="3">
        <v>15074853</v>
      </c>
      <c r="H65" s="1">
        <v>350</v>
      </c>
      <c r="I65" t="s">
        <v>28</v>
      </c>
      <c r="J65" s="1">
        <v>1031332.69</v>
      </c>
      <c r="K65" t="s">
        <v>26</v>
      </c>
      <c r="L65">
        <v>194144</v>
      </c>
      <c r="M65" t="str">
        <f>"FTZ TRAVEL &amp; TOURS S"</f>
        <v>FTZ TRAVEL &amp; TOURS S</v>
      </c>
      <c r="O65">
        <v>1</v>
      </c>
      <c r="P65" t="str">
        <f>"PGTEFT2182"</f>
        <v>PGTEFT2182</v>
      </c>
      <c r="Q65" t="str">
        <f>"P14157"</f>
        <v>P14157</v>
      </c>
    </row>
    <row r="66" spans="1:17" x14ac:dyDescent="0.25">
      <c r="A66">
        <v>8003879954</v>
      </c>
      <c r="B66">
        <v>8</v>
      </c>
      <c r="C66">
        <v>30032017</v>
      </c>
      <c r="D66">
        <v>299</v>
      </c>
      <c r="E66" t="s">
        <v>30</v>
      </c>
      <c r="F66">
        <v>9938</v>
      </c>
      <c r="G66" s="3">
        <v>15074853</v>
      </c>
      <c r="H66" s="1">
        <v>0.01</v>
      </c>
      <c r="I66" t="s">
        <v>28</v>
      </c>
      <c r="J66" s="1">
        <v>1031682.69</v>
      </c>
      <c r="K66" t="s">
        <v>26</v>
      </c>
      <c r="L66">
        <v>194144</v>
      </c>
      <c r="M66" t="str">
        <f>"PGTEFT2182          P14157"</f>
        <v>PGTEFT2182          P14157</v>
      </c>
      <c r="O66">
        <v>1</v>
      </c>
    </row>
    <row r="67" spans="1:17" x14ac:dyDescent="0.25">
      <c r="A67">
        <v>8003879954</v>
      </c>
      <c r="B67">
        <v>7</v>
      </c>
      <c r="C67">
        <v>30032017</v>
      </c>
      <c r="D67">
        <v>489</v>
      </c>
      <c r="E67" t="s">
        <v>31</v>
      </c>
      <c r="F67">
        <v>9938</v>
      </c>
      <c r="G67" s="3">
        <v>15074853</v>
      </c>
      <c r="H67" s="1">
        <v>0.1</v>
      </c>
      <c r="I67" t="s">
        <v>28</v>
      </c>
      <c r="J67" s="1">
        <v>1031682.7</v>
      </c>
      <c r="K67" t="s">
        <v>26</v>
      </c>
      <c r="L67">
        <v>194144</v>
      </c>
      <c r="M67" t="str">
        <f>"PGTEFT2182          P14157"</f>
        <v>PGTEFT2182          P14157</v>
      </c>
      <c r="O67">
        <v>1</v>
      </c>
    </row>
    <row r="68" spans="1:17" x14ac:dyDescent="0.25">
      <c r="A68">
        <v>8003879954</v>
      </c>
      <c r="B68">
        <v>6</v>
      </c>
      <c r="C68">
        <v>30032017</v>
      </c>
      <c r="D68">
        <v>341</v>
      </c>
      <c r="E68" t="s">
        <v>29</v>
      </c>
      <c r="F68">
        <v>9938</v>
      </c>
      <c r="G68" s="3">
        <v>15074567</v>
      </c>
      <c r="H68" s="1">
        <v>3540.4</v>
      </c>
      <c r="I68" t="s">
        <v>28</v>
      </c>
      <c r="J68" s="1">
        <v>1031682.8</v>
      </c>
      <c r="K68" t="s">
        <v>26</v>
      </c>
      <c r="L68">
        <v>194144</v>
      </c>
      <c r="M68" t="str">
        <f>"ROD CREATIVE SDN BHD"</f>
        <v>ROD CREATIVE SDN BHD</v>
      </c>
      <c r="O68">
        <v>1</v>
      </c>
      <c r="P68" t="str">
        <f>"PGTEFT2184"</f>
        <v>PGTEFT2184</v>
      </c>
      <c r="Q68" t="str">
        <f>"INV151237"</f>
        <v>INV151237</v>
      </c>
    </row>
    <row r="69" spans="1:17" x14ac:dyDescent="0.25">
      <c r="A69">
        <v>8003879954</v>
      </c>
      <c r="B69">
        <v>5</v>
      </c>
      <c r="C69">
        <v>30032017</v>
      </c>
      <c r="D69">
        <v>299</v>
      </c>
      <c r="E69" t="s">
        <v>30</v>
      </c>
      <c r="F69">
        <v>9938</v>
      </c>
      <c r="G69" s="3">
        <v>15074567</v>
      </c>
      <c r="H69" s="1">
        <v>0.01</v>
      </c>
      <c r="I69" t="s">
        <v>28</v>
      </c>
      <c r="J69" s="1">
        <v>1035223.2</v>
      </c>
      <c r="K69" t="s">
        <v>26</v>
      </c>
      <c r="L69">
        <v>194144</v>
      </c>
      <c r="M69" t="str">
        <f>"PGTEFT2184          INV151237"</f>
        <v>PGTEFT2184          INV151237</v>
      </c>
      <c r="O69">
        <v>1</v>
      </c>
    </row>
    <row r="70" spans="1:17" x14ac:dyDescent="0.25">
      <c r="A70">
        <v>8003879954</v>
      </c>
      <c r="B70">
        <v>4</v>
      </c>
      <c r="C70">
        <v>30032017</v>
      </c>
      <c r="D70">
        <v>489</v>
      </c>
      <c r="E70" t="s">
        <v>31</v>
      </c>
      <c r="F70">
        <v>9938</v>
      </c>
      <c r="G70" s="3">
        <v>15074567</v>
      </c>
      <c r="H70" s="1">
        <v>0.1</v>
      </c>
      <c r="I70" t="s">
        <v>28</v>
      </c>
      <c r="J70" s="1">
        <v>1035223.21</v>
      </c>
      <c r="K70" t="s">
        <v>26</v>
      </c>
      <c r="L70">
        <v>194144</v>
      </c>
      <c r="M70" t="str">
        <f>"PGTEFT2184          INV151237"</f>
        <v>PGTEFT2184          INV151237</v>
      </c>
      <c r="O70">
        <v>1</v>
      </c>
    </row>
    <row r="71" spans="1:17" x14ac:dyDescent="0.25">
      <c r="A71">
        <v>8003879954</v>
      </c>
      <c r="B71">
        <v>3</v>
      </c>
      <c r="C71">
        <v>30032017</v>
      </c>
      <c r="D71">
        <v>341</v>
      </c>
      <c r="E71" t="s">
        <v>29</v>
      </c>
      <c r="F71">
        <v>9938</v>
      </c>
      <c r="G71" s="3">
        <v>15087445</v>
      </c>
      <c r="H71" s="1">
        <v>7856.59</v>
      </c>
      <c r="I71" t="s">
        <v>28</v>
      </c>
      <c r="J71" s="1">
        <v>1035223.31</v>
      </c>
      <c r="K71" t="s">
        <v>26</v>
      </c>
      <c r="L71">
        <v>194144</v>
      </c>
      <c r="M71" t="str">
        <f>"ELITE TRANSLATION AS"</f>
        <v>ELITE TRANSLATION AS</v>
      </c>
      <c r="O71">
        <v>1</v>
      </c>
      <c r="P71" t="str">
        <f>"PGTEFT2155"</f>
        <v>PGTEFT2155</v>
      </c>
      <c r="Q71" t="str">
        <f>"S1703001"</f>
        <v>S1703001</v>
      </c>
    </row>
    <row r="72" spans="1:17" x14ac:dyDescent="0.25">
      <c r="A72">
        <v>8003879954</v>
      </c>
      <c r="B72">
        <v>2</v>
      </c>
      <c r="C72">
        <v>30032017</v>
      </c>
      <c r="D72">
        <v>299</v>
      </c>
      <c r="E72" t="s">
        <v>30</v>
      </c>
      <c r="F72">
        <v>9938</v>
      </c>
      <c r="G72" s="3">
        <v>15087445</v>
      </c>
      <c r="H72" s="1">
        <v>0.01</v>
      </c>
      <c r="I72" t="s">
        <v>28</v>
      </c>
      <c r="J72" s="1">
        <v>1043079.9</v>
      </c>
      <c r="K72" t="s">
        <v>26</v>
      </c>
      <c r="L72">
        <v>194144</v>
      </c>
      <c r="M72" t="str">
        <f>"PGTEFT2155          S1703001"</f>
        <v>PGTEFT2155          S1703001</v>
      </c>
      <c r="O72">
        <v>1</v>
      </c>
    </row>
    <row r="73" spans="1:17" x14ac:dyDescent="0.25">
      <c r="A73">
        <v>8003879954</v>
      </c>
      <c r="B73">
        <v>1</v>
      </c>
      <c r="C73">
        <v>30032017</v>
      </c>
      <c r="D73">
        <v>489</v>
      </c>
      <c r="E73" t="s">
        <v>31</v>
      </c>
      <c r="F73">
        <v>9938</v>
      </c>
      <c r="G73" s="3">
        <v>15087445</v>
      </c>
      <c r="H73" s="1">
        <v>0.1</v>
      </c>
      <c r="I73" t="s">
        <v>28</v>
      </c>
      <c r="J73" s="1">
        <v>1043079.91</v>
      </c>
      <c r="K73" t="s">
        <v>26</v>
      </c>
      <c r="L73">
        <v>194144</v>
      </c>
      <c r="M73" t="str">
        <f>"PGTEFT2155          S1703001"</f>
        <v>PGTEFT2155          S1703001</v>
      </c>
      <c r="O73">
        <v>1</v>
      </c>
    </row>
    <row r="74" spans="1:17" x14ac:dyDescent="0.25">
      <c r="A74">
        <v>8003879954</v>
      </c>
      <c r="B74">
        <v>2</v>
      </c>
      <c r="C74">
        <v>28032017</v>
      </c>
      <c r="D74">
        <v>123</v>
      </c>
      <c r="E74" t="s">
        <v>38</v>
      </c>
      <c r="F74">
        <v>2007</v>
      </c>
      <c r="G74" s="3">
        <v>22405724</v>
      </c>
      <c r="H74" s="1">
        <v>500</v>
      </c>
      <c r="I74" t="s">
        <v>26</v>
      </c>
      <c r="J74" s="1">
        <v>1043080.01</v>
      </c>
      <c r="K74" t="s">
        <v>26</v>
      </c>
      <c r="L74">
        <v>220739</v>
      </c>
      <c r="M74" t="str">
        <f>""</f>
        <v/>
      </c>
      <c r="O74">
        <v>1</v>
      </c>
    </row>
    <row r="75" spans="1:17" x14ac:dyDescent="0.25">
      <c r="A75">
        <v>8003879954</v>
      </c>
      <c r="B75">
        <v>1</v>
      </c>
      <c r="C75">
        <v>28032017</v>
      </c>
      <c r="D75">
        <v>102</v>
      </c>
      <c r="E75" t="s">
        <v>46</v>
      </c>
      <c r="F75">
        <v>9815</v>
      </c>
      <c r="G75" s="3" t="s">
        <v>47</v>
      </c>
      <c r="H75" s="1">
        <v>1000</v>
      </c>
      <c r="I75" t="s">
        <v>26</v>
      </c>
      <c r="J75" s="1">
        <v>1042580.01</v>
      </c>
      <c r="K75" t="s">
        <v>26</v>
      </c>
      <c r="L75">
        <v>174458</v>
      </c>
      <c r="M75" t="str">
        <f>""</f>
        <v/>
      </c>
      <c r="O75">
        <v>1</v>
      </c>
    </row>
    <row r="76" spans="1:17" x14ac:dyDescent="0.25">
      <c r="A76">
        <v>8003879954</v>
      </c>
      <c r="B76">
        <v>9</v>
      </c>
      <c r="C76">
        <v>27032017</v>
      </c>
      <c r="D76">
        <v>299</v>
      </c>
      <c r="E76" t="s">
        <v>30</v>
      </c>
      <c r="H76" s="1">
        <v>0.03</v>
      </c>
      <c r="I76" t="s">
        <v>28</v>
      </c>
      <c r="J76" s="1">
        <v>1041580.01</v>
      </c>
      <c r="K76" t="s">
        <v>26</v>
      </c>
      <c r="L76">
        <v>10422</v>
      </c>
      <c r="M76" t="str">
        <f>""</f>
        <v/>
      </c>
      <c r="O76">
        <v>1</v>
      </c>
    </row>
    <row r="77" spans="1:17" x14ac:dyDescent="0.25">
      <c r="A77">
        <v>8003879954</v>
      </c>
      <c r="B77">
        <v>8</v>
      </c>
      <c r="C77">
        <v>27032017</v>
      </c>
      <c r="D77">
        <v>819</v>
      </c>
      <c r="E77" t="s">
        <v>32</v>
      </c>
      <c r="H77" s="1">
        <v>0.5</v>
      </c>
      <c r="I77" t="s">
        <v>28</v>
      </c>
      <c r="J77" s="1">
        <v>1041580.04</v>
      </c>
      <c r="K77" t="s">
        <v>26</v>
      </c>
      <c r="L77">
        <v>10422</v>
      </c>
      <c r="M77" t="str">
        <f>""</f>
        <v/>
      </c>
      <c r="O77">
        <v>1</v>
      </c>
    </row>
    <row r="78" spans="1:17" x14ac:dyDescent="0.25">
      <c r="A78">
        <v>8003879954</v>
      </c>
      <c r="B78">
        <v>7</v>
      </c>
      <c r="C78">
        <v>27032017</v>
      </c>
      <c r="D78">
        <v>299</v>
      </c>
      <c r="E78" t="s">
        <v>30</v>
      </c>
      <c r="H78" s="1">
        <v>0.03</v>
      </c>
      <c r="I78" t="s">
        <v>28</v>
      </c>
      <c r="J78" s="1">
        <v>1041580.54</v>
      </c>
      <c r="K78" t="s">
        <v>26</v>
      </c>
      <c r="L78">
        <v>10422</v>
      </c>
      <c r="M78" t="str">
        <f>""</f>
        <v/>
      </c>
      <c r="O78">
        <v>1</v>
      </c>
    </row>
    <row r="79" spans="1:17" x14ac:dyDescent="0.25">
      <c r="A79">
        <v>8003879954</v>
      </c>
      <c r="B79">
        <v>6</v>
      </c>
      <c r="C79">
        <v>27032017</v>
      </c>
      <c r="D79">
        <v>819</v>
      </c>
      <c r="E79" t="s">
        <v>32</v>
      </c>
      <c r="H79" s="1">
        <v>0.5</v>
      </c>
      <c r="I79" t="s">
        <v>28</v>
      </c>
      <c r="J79" s="1">
        <v>1041580.57</v>
      </c>
      <c r="K79" t="s">
        <v>26</v>
      </c>
      <c r="L79">
        <v>10422</v>
      </c>
      <c r="M79" t="str">
        <f>""</f>
        <v/>
      </c>
      <c r="O79">
        <v>1</v>
      </c>
    </row>
    <row r="80" spans="1:17" x14ac:dyDescent="0.25">
      <c r="A80">
        <v>8003879954</v>
      </c>
      <c r="B80">
        <v>5</v>
      </c>
      <c r="C80">
        <v>27032017</v>
      </c>
      <c r="D80">
        <v>323</v>
      </c>
      <c r="E80" t="s">
        <v>33</v>
      </c>
      <c r="F80">
        <v>0</v>
      </c>
      <c r="G80" s="3">
        <v>687901</v>
      </c>
      <c r="H80" s="1">
        <v>41085</v>
      </c>
      <c r="I80" t="s">
        <v>28</v>
      </c>
      <c r="J80" s="1">
        <v>1041581.07</v>
      </c>
      <c r="K80" t="s">
        <v>26</v>
      </c>
      <c r="L80">
        <v>10311</v>
      </c>
      <c r="M80" t="str">
        <f>""</f>
        <v/>
      </c>
      <c r="O80">
        <v>1</v>
      </c>
    </row>
    <row r="81" spans="1:18" x14ac:dyDescent="0.25">
      <c r="A81">
        <v>8003879954</v>
      </c>
      <c r="B81">
        <v>4</v>
      </c>
      <c r="C81">
        <v>27032017</v>
      </c>
      <c r="D81">
        <v>321</v>
      </c>
      <c r="E81" t="s">
        <v>37</v>
      </c>
      <c r="F81">
        <v>0</v>
      </c>
      <c r="G81" s="3">
        <v>687897</v>
      </c>
      <c r="H81" s="1">
        <v>10931.02</v>
      </c>
      <c r="I81" t="s">
        <v>28</v>
      </c>
      <c r="J81" s="1">
        <v>1082666.07</v>
      </c>
      <c r="K81" t="s">
        <v>26</v>
      </c>
      <c r="L81">
        <v>10311</v>
      </c>
      <c r="M81" t="str">
        <f>""</f>
        <v/>
      </c>
      <c r="O81">
        <v>1</v>
      </c>
    </row>
    <row r="82" spans="1:18" x14ac:dyDescent="0.25">
      <c r="A82">
        <v>8003879954</v>
      </c>
      <c r="B82">
        <v>3</v>
      </c>
      <c r="C82">
        <v>27032017</v>
      </c>
      <c r="D82">
        <v>123</v>
      </c>
      <c r="E82" t="s">
        <v>38</v>
      </c>
      <c r="F82">
        <v>2007</v>
      </c>
      <c r="G82" s="3">
        <v>74206322</v>
      </c>
      <c r="H82" s="1">
        <v>2000</v>
      </c>
      <c r="I82" t="s">
        <v>26</v>
      </c>
      <c r="J82" s="1">
        <v>1093597.0900000001</v>
      </c>
      <c r="K82" t="s">
        <v>26</v>
      </c>
      <c r="L82">
        <v>190640</v>
      </c>
      <c r="M82" t="str">
        <f>""</f>
        <v/>
      </c>
      <c r="O82">
        <v>1</v>
      </c>
    </row>
    <row r="83" spans="1:18" x14ac:dyDescent="0.25">
      <c r="A83">
        <v>8003879954</v>
      </c>
      <c r="B83">
        <v>2</v>
      </c>
      <c r="C83">
        <v>27032017</v>
      </c>
      <c r="D83">
        <v>141</v>
      </c>
      <c r="E83" t="s">
        <v>48</v>
      </c>
      <c r="F83">
        <v>2001</v>
      </c>
      <c r="G83" s="3">
        <v>800314884415</v>
      </c>
      <c r="H83" s="1">
        <v>7856.59</v>
      </c>
      <c r="I83" t="s">
        <v>26</v>
      </c>
      <c r="J83" s="1">
        <v>1091597.0900000001</v>
      </c>
      <c r="K83" t="s">
        <v>26</v>
      </c>
      <c r="L83">
        <v>173248</v>
      </c>
      <c r="M83" t="str">
        <f>"800314884415 [R03]-"</f>
        <v>800314884415 [R03]-</v>
      </c>
      <c r="O83">
        <v>1</v>
      </c>
      <c r="P83" t="str">
        <f>"800314884415 [R03]-"</f>
        <v>800314884415 [R03]-</v>
      </c>
      <c r="Q83" t="str">
        <f>"Transfer from CIMB"</f>
        <v>Transfer from CIMB</v>
      </c>
      <c r="R83" t="str">
        <f>"IBG REFUND"</f>
        <v>IBG REFUND</v>
      </c>
    </row>
    <row r="84" spans="1:18" x14ac:dyDescent="0.25">
      <c r="A84">
        <v>8003879954</v>
      </c>
      <c r="B84">
        <v>1</v>
      </c>
      <c r="C84">
        <v>27032017</v>
      </c>
      <c r="D84">
        <v>141</v>
      </c>
      <c r="E84" t="s">
        <v>48</v>
      </c>
      <c r="F84">
        <v>2001</v>
      </c>
      <c r="G84" s="3">
        <v>17001328</v>
      </c>
      <c r="H84" s="1">
        <v>1000000</v>
      </c>
      <c r="I84" t="s">
        <v>26</v>
      </c>
      <c r="J84" s="1">
        <v>1083740.5</v>
      </c>
      <c r="K84" t="s">
        <v>26</v>
      </c>
      <c r="L84">
        <v>111312</v>
      </c>
      <c r="M84" t="str">
        <f>"PDC/PV17001328 DANA OPERASI FASA PE"</f>
        <v>PDC/PV17001328 DANA OPERASI FASA PE</v>
      </c>
      <c r="O84">
        <v>1</v>
      </c>
      <c r="P84" t="str">
        <f>"PDC/PV17001328 DANA"</f>
        <v>PDC/PV17001328 DANA</v>
      </c>
      <c r="Q84" t="str">
        <f>"Transfer from CIMB"</f>
        <v>Transfer from CIMB</v>
      </c>
    </row>
    <row r="85" spans="1:18" x14ac:dyDescent="0.25">
      <c r="A85">
        <v>8003879954</v>
      </c>
      <c r="B85">
        <v>69</v>
      </c>
      <c r="C85">
        <v>24032017</v>
      </c>
      <c r="D85">
        <v>60</v>
      </c>
      <c r="E85" t="s">
        <v>43</v>
      </c>
      <c r="F85">
        <v>9938</v>
      </c>
      <c r="G85" s="3">
        <v>14880519</v>
      </c>
      <c r="H85" s="1">
        <v>1505</v>
      </c>
      <c r="I85" t="s">
        <v>28</v>
      </c>
      <c r="J85" s="1">
        <v>83740.5</v>
      </c>
      <c r="K85" t="s">
        <v>26</v>
      </c>
      <c r="L85">
        <v>172412</v>
      </c>
      <c r="M85" t="str">
        <f>"TAIWAN TACTICAL CAMP BUTTERFLY HOUSE (PG"</f>
        <v>TAIWAN TACTICAL CAMP BUTTERFLY HOUSE (PG</v>
      </c>
      <c r="O85">
        <v>1</v>
      </c>
      <c r="P85" t="str">
        <f>"PGTEFT2149"</f>
        <v>PGTEFT2149</v>
      </c>
      <c r="Q85" t="str">
        <f>"B013180 A028248"</f>
        <v>B013180 A028248</v>
      </c>
    </row>
    <row r="86" spans="1:18" x14ac:dyDescent="0.25">
      <c r="A86">
        <v>8003879954</v>
      </c>
      <c r="B86">
        <v>68</v>
      </c>
      <c r="C86">
        <v>24032017</v>
      </c>
      <c r="D86">
        <v>343</v>
      </c>
      <c r="E86" t="s">
        <v>49</v>
      </c>
      <c r="F86">
        <v>9938</v>
      </c>
      <c r="G86" s="3">
        <v>2017032432149490</v>
      </c>
      <c r="H86" s="1">
        <v>53.8</v>
      </c>
      <c r="I86" t="s">
        <v>28</v>
      </c>
      <c r="J86" s="1">
        <v>85245.5</v>
      </c>
      <c r="K86" t="s">
        <v>26</v>
      </c>
      <c r="L86">
        <v>172325</v>
      </c>
      <c r="M86" t="str">
        <f>"Pay to TNB: 220543735508"</f>
        <v>Pay to TNB: 220543735508</v>
      </c>
      <c r="O86">
        <v>1</v>
      </c>
    </row>
    <row r="87" spans="1:18" x14ac:dyDescent="0.25">
      <c r="A87">
        <v>8003879954</v>
      </c>
      <c r="B87">
        <v>67</v>
      </c>
      <c r="C87">
        <v>24032017</v>
      </c>
      <c r="D87">
        <v>343</v>
      </c>
      <c r="E87" t="s">
        <v>49</v>
      </c>
      <c r="F87">
        <v>9938</v>
      </c>
      <c r="G87" s="3">
        <v>2017032432149480</v>
      </c>
      <c r="H87" s="1">
        <v>705.95</v>
      </c>
      <c r="I87" t="s">
        <v>28</v>
      </c>
      <c r="J87" s="1">
        <v>85299.3</v>
      </c>
      <c r="K87" t="s">
        <v>26</v>
      </c>
      <c r="L87">
        <v>172325</v>
      </c>
      <c r="M87" t="str">
        <f>"Pay to TNB: 220543728710"</f>
        <v>Pay to TNB: 220543728710</v>
      </c>
      <c r="O87">
        <v>1</v>
      </c>
    </row>
    <row r="88" spans="1:18" x14ac:dyDescent="0.25">
      <c r="A88">
        <v>8003879954</v>
      </c>
      <c r="B88">
        <v>66</v>
      </c>
      <c r="C88">
        <v>24032017</v>
      </c>
      <c r="D88">
        <v>341</v>
      </c>
      <c r="E88" t="s">
        <v>29</v>
      </c>
      <c r="F88">
        <v>9938</v>
      </c>
      <c r="G88" s="3">
        <v>14880634</v>
      </c>
      <c r="H88" s="1">
        <v>90</v>
      </c>
      <c r="I88" t="s">
        <v>28</v>
      </c>
      <c r="J88" s="1">
        <v>86005.25</v>
      </c>
      <c r="K88" t="s">
        <v>26</v>
      </c>
      <c r="L88">
        <v>172324</v>
      </c>
      <c r="M88" t="str">
        <f>"YEAP KAM MOEY"</f>
        <v>YEAP KAM MOEY</v>
      </c>
      <c r="O88">
        <v>1</v>
      </c>
      <c r="P88" t="str">
        <f>"PGTEFT2179"</f>
        <v>PGTEFT2179</v>
      </c>
      <c r="Q88" t="str">
        <f>"20FEB2017"</f>
        <v>20FEB2017</v>
      </c>
    </row>
    <row r="89" spans="1:18" x14ac:dyDescent="0.25">
      <c r="A89">
        <v>8003879954</v>
      </c>
      <c r="B89">
        <v>65</v>
      </c>
      <c r="C89">
        <v>24032017</v>
      </c>
      <c r="D89">
        <v>299</v>
      </c>
      <c r="E89" t="s">
        <v>30</v>
      </c>
      <c r="F89">
        <v>9938</v>
      </c>
      <c r="G89" s="3">
        <v>14880634</v>
      </c>
      <c r="H89" s="1">
        <v>0.01</v>
      </c>
      <c r="I89" t="s">
        <v>28</v>
      </c>
      <c r="J89" s="1">
        <v>86095.25</v>
      </c>
      <c r="K89" t="s">
        <v>26</v>
      </c>
      <c r="L89">
        <v>172324</v>
      </c>
      <c r="M89" t="str">
        <f>"PGTEFT2179          20FEB2017"</f>
        <v>PGTEFT2179          20FEB2017</v>
      </c>
      <c r="O89">
        <v>1</v>
      </c>
    </row>
    <row r="90" spans="1:18" x14ac:dyDescent="0.25">
      <c r="A90">
        <v>8003879954</v>
      </c>
      <c r="B90">
        <v>64</v>
      </c>
      <c r="C90">
        <v>24032017</v>
      </c>
      <c r="D90">
        <v>489</v>
      </c>
      <c r="E90" t="s">
        <v>31</v>
      </c>
      <c r="F90">
        <v>9938</v>
      </c>
      <c r="G90" s="3">
        <v>14880634</v>
      </c>
      <c r="H90" s="1">
        <v>0.1</v>
      </c>
      <c r="I90" t="s">
        <v>28</v>
      </c>
      <c r="J90" s="1">
        <v>86095.26</v>
      </c>
      <c r="K90" t="s">
        <v>26</v>
      </c>
      <c r="L90">
        <v>172324</v>
      </c>
      <c r="M90" t="str">
        <f>"PGTEFT2179          20FEB2017"</f>
        <v>PGTEFT2179          20FEB2017</v>
      </c>
      <c r="O90">
        <v>1</v>
      </c>
    </row>
    <row r="91" spans="1:18" x14ac:dyDescent="0.25">
      <c r="A91">
        <v>8003879954</v>
      </c>
      <c r="B91">
        <v>63</v>
      </c>
      <c r="C91">
        <v>24032017</v>
      </c>
      <c r="D91">
        <v>345</v>
      </c>
      <c r="E91" t="s">
        <v>27</v>
      </c>
      <c r="F91">
        <v>9938</v>
      </c>
      <c r="G91" s="3">
        <v>14881538</v>
      </c>
      <c r="H91" s="1">
        <v>1554.75</v>
      </c>
      <c r="I91" t="s">
        <v>28</v>
      </c>
      <c r="J91" s="1">
        <v>86095.360000000001</v>
      </c>
      <c r="K91" t="s">
        <v>26</v>
      </c>
      <c r="L91">
        <v>172323</v>
      </c>
      <c r="M91" t="str">
        <f>"THAI &amp; KAOHSIUNG OOI CHOK YAN"</f>
        <v>THAI &amp; KAOHSIUNG OOI CHOK YAN</v>
      </c>
      <c r="O91">
        <v>1</v>
      </c>
      <c r="P91" t="str">
        <f>"PGTEFT2172"</f>
        <v>PGTEFT2172</v>
      </c>
      <c r="Q91" t="str">
        <f>"CLAIMS"</f>
        <v>CLAIMS</v>
      </c>
    </row>
    <row r="92" spans="1:18" x14ac:dyDescent="0.25">
      <c r="A92">
        <v>8003879954</v>
      </c>
      <c r="B92">
        <v>62</v>
      </c>
      <c r="C92">
        <v>24032017</v>
      </c>
      <c r="D92">
        <v>341</v>
      </c>
      <c r="E92" t="s">
        <v>29</v>
      </c>
      <c r="F92">
        <v>9938</v>
      </c>
      <c r="G92" s="3">
        <v>14882035</v>
      </c>
      <c r="H92" s="1">
        <v>1195.46</v>
      </c>
      <c r="I92" t="s">
        <v>28</v>
      </c>
      <c r="J92" s="1">
        <v>87650.11</v>
      </c>
      <c r="K92" t="s">
        <v>26</v>
      </c>
      <c r="L92">
        <v>172323</v>
      </c>
      <c r="M92" t="str">
        <f>"STERLING INSURANCE B"</f>
        <v>STERLING INSURANCE B</v>
      </c>
      <c r="O92">
        <v>1</v>
      </c>
      <c r="P92" t="str">
        <f>"PGTEFT2170"</f>
        <v>PGTEFT2170</v>
      </c>
      <c r="Q92" t="str">
        <f>"DN17-02850"</f>
        <v>DN17-02850</v>
      </c>
    </row>
    <row r="93" spans="1:18" x14ac:dyDescent="0.25">
      <c r="A93">
        <v>8003879954</v>
      </c>
      <c r="B93">
        <v>61</v>
      </c>
      <c r="C93">
        <v>24032017</v>
      </c>
      <c r="D93">
        <v>299</v>
      </c>
      <c r="E93" t="s">
        <v>30</v>
      </c>
      <c r="F93">
        <v>9938</v>
      </c>
      <c r="G93" s="3">
        <v>14882035</v>
      </c>
      <c r="H93" s="1">
        <v>0.01</v>
      </c>
      <c r="I93" t="s">
        <v>28</v>
      </c>
      <c r="J93" s="1">
        <v>88845.57</v>
      </c>
      <c r="K93" t="s">
        <v>26</v>
      </c>
      <c r="L93">
        <v>172323</v>
      </c>
      <c r="M93" t="str">
        <f>"PGTEFT2170          DN17-02850"</f>
        <v>PGTEFT2170          DN17-02850</v>
      </c>
      <c r="O93">
        <v>1</v>
      </c>
    </row>
    <row r="94" spans="1:18" x14ac:dyDescent="0.25">
      <c r="A94">
        <v>8003879954</v>
      </c>
      <c r="B94">
        <v>60</v>
      </c>
      <c r="C94">
        <v>24032017</v>
      </c>
      <c r="D94">
        <v>489</v>
      </c>
      <c r="E94" t="s">
        <v>31</v>
      </c>
      <c r="F94">
        <v>9938</v>
      </c>
      <c r="G94" s="3">
        <v>14882035</v>
      </c>
      <c r="H94" s="1">
        <v>0.1</v>
      </c>
      <c r="I94" t="s">
        <v>28</v>
      </c>
      <c r="J94" s="1">
        <v>88845.58</v>
      </c>
      <c r="K94" t="s">
        <v>26</v>
      </c>
      <c r="L94">
        <v>172323</v>
      </c>
      <c r="M94" t="str">
        <f>"PGTEFT2170          DN17-02850"</f>
        <v>PGTEFT2170          DN17-02850</v>
      </c>
      <c r="O94">
        <v>1</v>
      </c>
    </row>
    <row r="95" spans="1:18" x14ac:dyDescent="0.25">
      <c r="A95">
        <v>8003879954</v>
      </c>
      <c r="B95">
        <v>59</v>
      </c>
      <c r="C95">
        <v>24032017</v>
      </c>
      <c r="D95">
        <v>343</v>
      </c>
      <c r="E95" t="s">
        <v>49</v>
      </c>
      <c r="F95">
        <v>9938</v>
      </c>
      <c r="G95" s="3">
        <v>2017032432149470</v>
      </c>
      <c r="H95" s="1">
        <v>11.72</v>
      </c>
      <c r="I95" t="s">
        <v>28</v>
      </c>
      <c r="J95" s="1">
        <v>88845.68</v>
      </c>
      <c r="K95" t="s">
        <v>26</v>
      </c>
      <c r="L95">
        <v>172322</v>
      </c>
      <c r="M95" t="str">
        <f>"Pay to TNB: 220543740007"</f>
        <v>Pay to TNB: 220543740007</v>
      </c>
      <c r="O95">
        <v>1</v>
      </c>
    </row>
    <row r="96" spans="1:18" x14ac:dyDescent="0.25">
      <c r="A96">
        <v>8003879954</v>
      </c>
      <c r="B96">
        <v>58</v>
      </c>
      <c r="C96">
        <v>24032017</v>
      </c>
      <c r="D96">
        <v>343</v>
      </c>
      <c r="E96" t="s">
        <v>49</v>
      </c>
      <c r="F96">
        <v>9938</v>
      </c>
      <c r="G96" s="3">
        <v>2017032432149470</v>
      </c>
      <c r="H96" s="1">
        <v>1294.95</v>
      </c>
      <c r="I96" t="s">
        <v>28</v>
      </c>
      <c r="J96" s="1">
        <v>88857.4</v>
      </c>
      <c r="K96" t="s">
        <v>26</v>
      </c>
      <c r="L96">
        <v>172322</v>
      </c>
      <c r="M96" t="str">
        <f>"Pay to TNB: 220543726302"</f>
        <v>Pay to TNB: 220543726302</v>
      </c>
      <c r="O96">
        <v>1</v>
      </c>
    </row>
    <row r="97" spans="1:17" x14ac:dyDescent="0.25">
      <c r="A97">
        <v>8003879954</v>
      </c>
      <c r="B97">
        <v>57</v>
      </c>
      <c r="C97">
        <v>24032017</v>
      </c>
      <c r="D97">
        <v>341</v>
      </c>
      <c r="E97" t="s">
        <v>29</v>
      </c>
      <c r="F97">
        <v>9938</v>
      </c>
      <c r="G97" s="3">
        <v>14880987</v>
      </c>
      <c r="H97" s="1">
        <v>38.549999999999997</v>
      </c>
      <c r="I97" t="s">
        <v>28</v>
      </c>
      <c r="J97" s="1">
        <v>90152.35</v>
      </c>
      <c r="K97" t="s">
        <v>26</v>
      </c>
      <c r="L97">
        <v>172318</v>
      </c>
      <c r="M97" t="str">
        <f>"WEB ASP SDN BHD"</f>
        <v>WEB ASP SDN BHD</v>
      </c>
      <c r="O97">
        <v>1</v>
      </c>
      <c r="P97" t="str">
        <f>"PGTEFT2177"</f>
        <v>PGTEFT2177</v>
      </c>
      <c r="Q97" t="str">
        <f>"INV20043532"</f>
        <v>INV20043532</v>
      </c>
    </row>
    <row r="98" spans="1:17" x14ac:dyDescent="0.25">
      <c r="A98">
        <v>8003879954</v>
      </c>
      <c r="B98">
        <v>56</v>
      </c>
      <c r="C98">
        <v>24032017</v>
      </c>
      <c r="D98">
        <v>299</v>
      </c>
      <c r="E98" t="s">
        <v>30</v>
      </c>
      <c r="F98">
        <v>9938</v>
      </c>
      <c r="G98" s="3">
        <v>14880987</v>
      </c>
      <c r="H98" s="1">
        <v>0.01</v>
      </c>
      <c r="I98" t="s">
        <v>28</v>
      </c>
      <c r="J98" s="1">
        <v>90190.9</v>
      </c>
      <c r="K98" t="s">
        <v>26</v>
      </c>
      <c r="L98">
        <v>172318</v>
      </c>
      <c r="M98" t="str">
        <f>"PGTEFT2177          INV20043532"</f>
        <v>PGTEFT2177          INV20043532</v>
      </c>
      <c r="O98">
        <v>1</v>
      </c>
    </row>
    <row r="99" spans="1:17" x14ac:dyDescent="0.25">
      <c r="A99">
        <v>8003879954</v>
      </c>
      <c r="B99">
        <v>55</v>
      </c>
      <c r="C99">
        <v>24032017</v>
      </c>
      <c r="D99">
        <v>489</v>
      </c>
      <c r="E99" t="s">
        <v>31</v>
      </c>
      <c r="F99">
        <v>9938</v>
      </c>
      <c r="G99" s="3">
        <v>14880987</v>
      </c>
      <c r="H99" s="1">
        <v>0.1</v>
      </c>
      <c r="I99" t="s">
        <v>28</v>
      </c>
      <c r="J99" s="1">
        <v>90190.91</v>
      </c>
      <c r="K99" t="s">
        <v>26</v>
      </c>
      <c r="L99">
        <v>172318</v>
      </c>
      <c r="M99" t="str">
        <f>"PGTEFT2177          INV20043532"</f>
        <v>PGTEFT2177          INV20043532</v>
      </c>
      <c r="O99">
        <v>1</v>
      </c>
    </row>
    <row r="100" spans="1:17" x14ac:dyDescent="0.25">
      <c r="A100">
        <v>8003879954</v>
      </c>
      <c r="B100">
        <v>54</v>
      </c>
      <c r="C100">
        <v>24032017</v>
      </c>
      <c r="D100">
        <v>60</v>
      </c>
      <c r="E100" t="s">
        <v>43</v>
      </c>
      <c r="F100">
        <v>9938</v>
      </c>
      <c r="G100" s="3">
        <v>14881630</v>
      </c>
      <c r="H100" s="1">
        <v>450</v>
      </c>
      <c r="I100" t="s">
        <v>28</v>
      </c>
      <c r="J100" s="1">
        <v>90191.01</v>
      </c>
      <c r="K100" t="s">
        <v>26</v>
      </c>
      <c r="L100">
        <v>172318</v>
      </c>
      <c r="M100" t="str">
        <f>"GUIDE FEE FEB TOH KIM HOCK"</f>
        <v>GUIDE FEE FEB TOH KIM HOCK</v>
      </c>
      <c r="O100">
        <v>1</v>
      </c>
      <c r="P100" t="str">
        <f>"PGTEFT2171"</f>
        <v>PGTEFT2171</v>
      </c>
      <c r="Q100" t="str">
        <f>"INV92T 93T 94T"</f>
        <v>INV92T 93T 94T</v>
      </c>
    </row>
    <row r="101" spans="1:17" x14ac:dyDescent="0.25">
      <c r="A101">
        <v>8003879954</v>
      </c>
      <c r="B101">
        <v>53</v>
      </c>
      <c r="C101">
        <v>24032017</v>
      </c>
      <c r="D101">
        <v>345</v>
      </c>
      <c r="E101" t="s">
        <v>27</v>
      </c>
      <c r="F101">
        <v>9938</v>
      </c>
      <c r="G101" s="3">
        <v>14882275</v>
      </c>
      <c r="H101" s="1">
        <v>421.93</v>
      </c>
      <c r="I101" t="s">
        <v>28</v>
      </c>
      <c r="J101" s="1">
        <v>90641.01</v>
      </c>
      <c r="K101" t="s">
        <v>26</v>
      </c>
      <c r="L101">
        <v>172318</v>
      </c>
      <c r="M101" t="str">
        <f>"SATTE INDIA &amp; CRUISE SIM KOK JIUN"</f>
        <v>SATTE INDIA &amp; CRUISE SIM KOK JIUN</v>
      </c>
      <c r="O101">
        <v>1</v>
      </c>
      <c r="P101" t="str">
        <f>"PGTEFT2169"</f>
        <v>PGTEFT2169</v>
      </c>
      <c r="Q101" t="str">
        <f>"CLAIMS"</f>
        <v>CLAIMS</v>
      </c>
    </row>
    <row r="102" spans="1:17" x14ac:dyDescent="0.25">
      <c r="A102">
        <v>8003879954</v>
      </c>
      <c r="B102">
        <v>52</v>
      </c>
      <c r="C102">
        <v>24032017</v>
      </c>
      <c r="D102">
        <v>341</v>
      </c>
      <c r="E102" t="s">
        <v>29</v>
      </c>
      <c r="F102">
        <v>9938</v>
      </c>
      <c r="G102" s="3">
        <v>14883636</v>
      </c>
      <c r="H102" s="1">
        <v>270</v>
      </c>
      <c r="I102" t="s">
        <v>28</v>
      </c>
      <c r="J102" s="1">
        <v>91062.94</v>
      </c>
      <c r="K102" t="s">
        <v>26</v>
      </c>
      <c r="L102">
        <v>171932</v>
      </c>
      <c r="M102" t="str">
        <f>"LIANG CHOW MING"</f>
        <v>LIANG CHOW MING</v>
      </c>
      <c r="O102">
        <v>1</v>
      </c>
      <c r="P102" t="str">
        <f>"PGTEFT2160"</f>
        <v>PGTEFT2160</v>
      </c>
      <c r="Q102" t="str">
        <f>"INV19503"</f>
        <v>INV19503</v>
      </c>
    </row>
    <row r="103" spans="1:17" x14ac:dyDescent="0.25">
      <c r="A103">
        <v>8003879954</v>
      </c>
      <c r="B103">
        <v>51</v>
      </c>
      <c r="C103">
        <v>24032017</v>
      </c>
      <c r="D103">
        <v>299</v>
      </c>
      <c r="E103" t="s">
        <v>30</v>
      </c>
      <c r="F103">
        <v>9938</v>
      </c>
      <c r="G103" s="3">
        <v>14883636</v>
      </c>
      <c r="H103" s="1">
        <v>0.01</v>
      </c>
      <c r="I103" t="s">
        <v>28</v>
      </c>
      <c r="J103" s="1">
        <v>91332.94</v>
      </c>
      <c r="K103" t="s">
        <v>26</v>
      </c>
      <c r="L103">
        <v>171932</v>
      </c>
      <c r="M103" t="str">
        <f>"PGTEFT2160          INV19503"</f>
        <v>PGTEFT2160          INV19503</v>
      </c>
      <c r="O103">
        <v>1</v>
      </c>
    </row>
    <row r="104" spans="1:17" x14ac:dyDescent="0.25">
      <c r="A104">
        <v>8003879954</v>
      </c>
      <c r="B104">
        <v>50</v>
      </c>
      <c r="C104">
        <v>24032017</v>
      </c>
      <c r="D104">
        <v>489</v>
      </c>
      <c r="E104" t="s">
        <v>31</v>
      </c>
      <c r="F104">
        <v>9938</v>
      </c>
      <c r="G104" s="3">
        <v>14883636</v>
      </c>
      <c r="H104" s="1">
        <v>0.1</v>
      </c>
      <c r="I104" t="s">
        <v>28</v>
      </c>
      <c r="J104" s="1">
        <v>91332.95</v>
      </c>
      <c r="K104" t="s">
        <v>26</v>
      </c>
      <c r="L104">
        <v>171932</v>
      </c>
      <c r="M104" t="str">
        <f>"PGTEFT2160          INV19503"</f>
        <v>PGTEFT2160          INV19503</v>
      </c>
      <c r="O104">
        <v>1</v>
      </c>
    </row>
    <row r="105" spans="1:17" x14ac:dyDescent="0.25">
      <c r="A105">
        <v>8003879954</v>
      </c>
      <c r="B105">
        <v>49</v>
      </c>
      <c r="C105">
        <v>24032017</v>
      </c>
      <c r="D105">
        <v>341</v>
      </c>
      <c r="E105" t="s">
        <v>29</v>
      </c>
      <c r="F105">
        <v>9938</v>
      </c>
      <c r="G105" s="3">
        <v>14882771</v>
      </c>
      <c r="H105" s="1">
        <v>90.1</v>
      </c>
      <c r="I105" t="s">
        <v>28</v>
      </c>
      <c r="J105" s="1">
        <v>91333.05</v>
      </c>
      <c r="K105" t="s">
        <v>26</v>
      </c>
      <c r="L105">
        <v>171933</v>
      </c>
      <c r="M105" t="str">
        <f>"PGCC SALES &amp; SERVICE"</f>
        <v>PGCC SALES &amp; SERVICE</v>
      </c>
      <c r="O105">
        <v>1</v>
      </c>
      <c r="P105" t="str">
        <f>"PGTEFT2164"</f>
        <v>PGTEFT2164</v>
      </c>
      <c r="Q105" t="str">
        <f>"INV9144-17"</f>
        <v>INV9144-17</v>
      </c>
    </row>
    <row r="106" spans="1:17" x14ac:dyDescent="0.25">
      <c r="A106">
        <v>8003879954</v>
      </c>
      <c r="B106">
        <v>48</v>
      </c>
      <c r="C106">
        <v>24032017</v>
      </c>
      <c r="D106">
        <v>299</v>
      </c>
      <c r="E106" t="s">
        <v>30</v>
      </c>
      <c r="F106">
        <v>9938</v>
      </c>
      <c r="G106" s="3">
        <v>14882771</v>
      </c>
      <c r="H106" s="1">
        <v>0.01</v>
      </c>
      <c r="I106" t="s">
        <v>28</v>
      </c>
      <c r="J106" s="1">
        <v>91423.15</v>
      </c>
      <c r="K106" t="s">
        <v>26</v>
      </c>
      <c r="L106">
        <v>171933</v>
      </c>
      <c r="M106" t="str">
        <f>"PGTEFT2164          INV9144-17"</f>
        <v>PGTEFT2164          INV9144-17</v>
      </c>
      <c r="O106">
        <v>1</v>
      </c>
    </row>
    <row r="107" spans="1:17" x14ac:dyDescent="0.25">
      <c r="A107">
        <v>8003879954</v>
      </c>
      <c r="B107">
        <v>47</v>
      </c>
      <c r="C107">
        <v>24032017</v>
      </c>
      <c r="D107">
        <v>489</v>
      </c>
      <c r="E107" t="s">
        <v>31</v>
      </c>
      <c r="F107">
        <v>9938</v>
      </c>
      <c r="G107" s="3">
        <v>14882771</v>
      </c>
      <c r="H107" s="1">
        <v>0.1</v>
      </c>
      <c r="I107" t="s">
        <v>28</v>
      </c>
      <c r="J107" s="1">
        <v>91423.16</v>
      </c>
      <c r="K107" t="s">
        <v>26</v>
      </c>
      <c r="L107">
        <v>171933</v>
      </c>
      <c r="M107" t="str">
        <f>"PGTEFT2164          INV9144-17"</f>
        <v>PGTEFT2164          INV9144-17</v>
      </c>
      <c r="O107">
        <v>1</v>
      </c>
    </row>
    <row r="108" spans="1:17" x14ac:dyDescent="0.25">
      <c r="A108">
        <v>8003879954</v>
      </c>
      <c r="B108">
        <v>46</v>
      </c>
      <c r="C108">
        <v>24032017</v>
      </c>
      <c r="D108">
        <v>341</v>
      </c>
      <c r="E108" t="s">
        <v>29</v>
      </c>
      <c r="F108">
        <v>9938</v>
      </c>
      <c r="G108" s="3">
        <v>14882379</v>
      </c>
      <c r="H108" s="1">
        <v>254.4</v>
      </c>
      <c r="I108" t="s">
        <v>28</v>
      </c>
      <c r="J108" s="1">
        <v>91423.26</v>
      </c>
      <c r="K108" t="s">
        <v>26</v>
      </c>
      <c r="L108">
        <v>171933</v>
      </c>
      <c r="M108" t="str">
        <f>"ROD CREATIVE SDN BHD"</f>
        <v>ROD CREATIVE SDN BHD</v>
      </c>
      <c r="O108">
        <v>1</v>
      </c>
      <c r="P108" t="str">
        <f>"PGTEFT2168"</f>
        <v>PGTEFT2168</v>
      </c>
      <c r="Q108" t="str">
        <f>"INV151256"</f>
        <v>INV151256</v>
      </c>
    </row>
    <row r="109" spans="1:17" x14ac:dyDescent="0.25">
      <c r="A109">
        <v>8003879954</v>
      </c>
      <c r="B109">
        <v>45</v>
      </c>
      <c r="C109">
        <v>24032017</v>
      </c>
      <c r="D109">
        <v>299</v>
      </c>
      <c r="E109" t="s">
        <v>30</v>
      </c>
      <c r="F109">
        <v>9938</v>
      </c>
      <c r="G109" s="3">
        <v>14882379</v>
      </c>
      <c r="H109" s="1">
        <v>0.01</v>
      </c>
      <c r="I109" t="s">
        <v>28</v>
      </c>
      <c r="J109" s="1">
        <v>91677.66</v>
      </c>
      <c r="K109" t="s">
        <v>26</v>
      </c>
      <c r="L109">
        <v>171933</v>
      </c>
      <c r="M109" t="str">
        <f>"PGTEFT2168          INV151256"</f>
        <v>PGTEFT2168          INV151256</v>
      </c>
      <c r="O109">
        <v>1</v>
      </c>
    </row>
    <row r="110" spans="1:17" x14ac:dyDescent="0.25">
      <c r="A110">
        <v>8003879954</v>
      </c>
      <c r="B110">
        <v>44</v>
      </c>
      <c r="C110">
        <v>24032017</v>
      </c>
      <c r="D110">
        <v>489</v>
      </c>
      <c r="E110" t="s">
        <v>31</v>
      </c>
      <c r="F110">
        <v>9938</v>
      </c>
      <c r="G110" s="3">
        <v>14882379</v>
      </c>
      <c r="H110" s="1">
        <v>0.1</v>
      </c>
      <c r="I110" t="s">
        <v>28</v>
      </c>
      <c r="J110" s="1">
        <v>91677.67</v>
      </c>
      <c r="K110" t="s">
        <v>26</v>
      </c>
      <c r="L110">
        <v>171933</v>
      </c>
      <c r="M110" t="str">
        <f>"PGTEFT2168          INV151256"</f>
        <v>PGTEFT2168          INV151256</v>
      </c>
      <c r="O110">
        <v>1</v>
      </c>
    </row>
    <row r="111" spans="1:17" x14ac:dyDescent="0.25">
      <c r="A111">
        <v>8003879954</v>
      </c>
      <c r="B111">
        <v>43</v>
      </c>
      <c r="C111">
        <v>24032017</v>
      </c>
      <c r="D111">
        <v>341</v>
      </c>
      <c r="E111" t="s">
        <v>29</v>
      </c>
      <c r="F111">
        <v>9938</v>
      </c>
      <c r="G111" s="3">
        <v>14882618</v>
      </c>
      <c r="H111" s="1">
        <v>1270.94</v>
      </c>
      <c r="I111" t="s">
        <v>28</v>
      </c>
      <c r="J111" s="1">
        <v>91677.77</v>
      </c>
      <c r="K111" t="s">
        <v>26</v>
      </c>
      <c r="L111">
        <v>171932</v>
      </c>
      <c r="M111" t="str">
        <f>"REDTONE TELECOMMUNIC"</f>
        <v>REDTONE TELECOMMUNIC</v>
      </c>
      <c r="O111">
        <v>1</v>
      </c>
      <c r="P111" t="str">
        <f>"PGTEFT2166"</f>
        <v>PGTEFT2166</v>
      </c>
      <c r="Q111" t="str">
        <f>"INV245553"</f>
        <v>INV245553</v>
      </c>
    </row>
    <row r="112" spans="1:17" x14ac:dyDescent="0.25">
      <c r="A112">
        <v>8003879954</v>
      </c>
      <c r="B112">
        <v>42</v>
      </c>
      <c r="C112">
        <v>24032017</v>
      </c>
      <c r="D112">
        <v>299</v>
      </c>
      <c r="E112" t="s">
        <v>30</v>
      </c>
      <c r="F112">
        <v>9938</v>
      </c>
      <c r="G112" s="3">
        <v>14882618</v>
      </c>
      <c r="H112" s="1">
        <v>0.01</v>
      </c>
      <c r="I112" t="s">
        <v>28</v>
      </c>
      <c r="J112" s="1">
        <v>92948.71</v>
      </c>
      <c r="K112" t="s">
        <v>26</v>
      </c>
      <c r="L112">
        <v>171932</v>
      </c>
      <c r="M112" t="str">
        <f>"PGTEFT2166          INV245553"</f>
        <v>PGTEFT2166          INV245553</v>
      </c>
      <c r="O112">
        <v>1</v>
      </c>
    </row>
    <row r="113" spans="1:17" x14ac:dyDescent="0.25">
      <c r="A113">
        <v>8003879954</v>
      </c>
      <c r="B113">
        <v>41</v>
      </c>
      <c r="C113">
        <v>24032017</v>
      </c>
      <c r="D113">
        <v>489</v>
      </c>
      <c r="E113" t="s">
        <v>31</v>
      </c>
      <c r="F113">
        <v>9938</v>
      </c>
      <c r="G113" s="3">
        <v>14882618</v>
      </c>
      <c r="H113" s="1">
        <v>0.1</v>
      </c>
      <c r="I113" t="s">
        <v>28</v>
      </c>
      <c r="J113" s="1">
        <v>92948.72</v>
      </c>
      <c r="K113" t="s">
        <v>26</v>
      </c>
      <c r="L113">
        <v>171932</v>
      </c>
      <c r="M113" t="str">
        <f>"PGTEFT2166          INV245553"</f>
        <v>PGTEFT2166          INV245553</v>
      </c>
      <c r="O113">
        <v>1</v>
      </c>
    </row>
    <row r="114" spans="1:17" x14ac:dyDescent="0.25">
      <c r="A114">
        <v>8003879954</v>
      </c>
      <c r="B114">
        <v>40</v>
      </c>
      <c r="C114">
        <v>24032017</v>
      </c>
      <c r="D114">
        <v>60</v>
      </c>
      <c r="E114" t="s">
        <v>43</v>
      </c>
      <c r="F114">
        <v>9938</v>
      </c>
      <c r="G114" s="3">
        <v>14883500</v>
      </c>
      <c r="H114" s="1">
        <v>572.4</v>
      </c>
      <c r="I114" t="s">
        <v>28</v>
      </c>
      <c r="J114" s="1">
        <v>92948.82</v>
      </c>
      <c r="K114" t="s">
        <v>26</v>
      </c>
      <c r="L114">
        <v>171932</v>
      </c>
      <c r="M114" t="str">
        <f>"60 DRUMS 5 GALLONS W OMEGA SPARKLES SDN"</f>
        <v>60 DRUMS 5 GALLONS W OMEGA SPARKLES SDN</v>
      </c>
      <c r="O114">
        <v>1</v>
      </c>
      <c r="P114" t="str">
        <f>"PGTEFT2162"</f>
        <v>PGTEFT2162</v>
      </c>
      <c r="Q114" t="str">
        <f>"I-42328"</f>
        <v>I-42328</v>
      </c>
    </row>
    <row r="115" spans="1:17" x14ac:dyDescent="0.25">
      <c r="A115">
        <v>8003879954</v>
      </c>
      <c r="B115">
        <v>39</v>
      </c>
      <c r="C115">
        <v>24032017</v>
      </c>
      <c r="D115">
        <v>60</v>
      </c>
      <c r="E115" t="s">
        <v>43</v>
      </c>
      <c r="F115">
        <v>9938</v>
      </c>
      <c r="G115" s="3">
        <v>14882515</v>
      </c>
      <c r="H115" s="1">
        <v>3339</v>
      </c>
      <c r="I115" t="s">
        <v>28</v>
      </c>
      <c r="J115" s="1">
        <v>93521.22</v>
      </c>
      <c r="K115" t="s">
        <v>26</v>
      </c>
      <c r="L115">
        <v>171929</v>
      </c>
      <c r="M115" t="str">
        <f>"HAB FREE FLIGHT RISING ONE MEDIA SD"</f>
        <v>HAB FREE FLIGHT RISING ONE MEDIA SD</v>
      </c>
      <c r="O115">
        <v>1</v>
      </c>
      <c r="P115" t="str">
        <f>"PGTEFT2167"</f>
        <v>PGTEFT2167</v>
      </c>
      <c r="Q115" t="str">
        <f>"INN14248"</f>
        <v>INN14248</v>
      </c>
    </row>
    <row r="116" spans="1:17" x14ac:dyDescent="0.25">
      <c r="A116">
        <v>8003879954</v>
      </c>
      <c r="B116">
        <v>38</v>
      </c>
      <c r="C116">
        <v>24032017</v>
      </c>
      <c r="D116">
        <v>341</v>
      </c>
      <c r="E116" t="s">
        <v>29</v>
      </c>
      <c r="F116">
        <v>9938</v>
      </c>
      <c r="G116" s="3">
        <v>14883265</v>
      </c>
      <c r="H116" s="1">
        <v>16.8</v>
      </c>
      <c r="I116" t="s">
        <v>28</v>
      </c>
      <c r="J116" s="1">
        <v>96860.22</v>
      </c>
      <c r="K116" t="s">
        <v>26</v>
      </c>
      <c r="L116">
        <v>171929</v>
      </c>
      <c r="M116" t="str">
        <f>"PENELOPE YUEN LI JYN"</f>
        <v>PENELOPE YUEN LI JYN</v>
      </c>
      <c r="O116">
        <v>1</v>
      </c>
      <c r="P116" t="str">
        <f>"PGTEFT2163"</f>
        <v>PGTEFT2163</v>
      </c>
      <c r="Q116" t="str">
        <f>"INV019 020"</f>
        <v>INV019 020</v>
      </c>
    </row>
    <row r="117" spans="1:17" x14ac:dyDescent="0.25">
      <c r="A117">
        <v>8003879954</v>
      </c>
      <c r="B117">
        <v>37</v>
      </c>
      <c r="C117">
        <v>24032017</v>
      </c>
      <c r="D117">
        <v>299</v>
      </c>
      <c r="E117" t="s">
        <v>30</v>
      </c>
      <c r="F117">
        <v>9938</v>
      </c>
      <c r="G117" s="3">
        <v>14883265</v>
      </c>
      <c r="H117" s="1">
        <v>0.01</v>
      </c>
      <c r="I117" t="s">
        <v>28</v>
      </c>
      <c r="J117" s="1">
        <v>96877.02</v>
      </c>
      <c r="K117" t="s">
        <v>26</v>
      </c>
      <c r="L117">
        <v>171929</v>
      </c>
      <c r="M117" t="str">
        <f>"PGTEFT2163          INV019 020"</f>
        <v>PGTEFT2163          INV019 020</v>
      </c>
      <c r="O117">
        <v>1</v>
      </c>
    </row>
    <row r="118" spans="1:17" x14ac:dyDescent="0.25">
      <c r="A118">
        <v>8003879954</v>
      </c>
      <c r="B118">
        <v>36</v>
      </c>
      <c r="C118">
        <v>24032017</v>
      </c>
      <c r="D118">
        <v>489</v>
      </c>
      <c r="E118" t="s">
        <v>31</v>
      </c>
      <c r="F118">
        <v>9938</v>
      </c>
      <c r="G118" s="3">
        <v>14883265</v>
      </c>
      <c r="H118" s="1">
        <v>0.1</v>
      </c>
      <c r="I118" t="s">
        <v>28</v>
      </c>
      <c r="J118" s="1">
        <v>96877.03</v>
      </c>
      <c r="K118" t="s">
        <v>26</v>
      </c>
      <c r="L118">
        <v>171929</v>
      </c>
      <c r="M118" t="str">
        <f>"PGTEFT2163          INV019 020"</f>
        <v>PGTEFT2163          INV019 020</v>
      </c>
      <c r="O118">
        <v>1</v>
      </c>
    </row>
    <row r="119" spans="1:17" x14ac:dyDescent="0.25">
      <c r="A119">
        <v>8003879954</v>
      </c>
      <c r="B119">
        <v>35</v>
      </c>
      <c r="C119">
        <v>24032017</v>
      </c>
      <c r="D119">
        <v>341</v>
      </c>
      <c r="E119" t="s">
        <v>29</v>
      </c>
      <c r="F119">
        <v>9938</v>
      </c>
      <c r="G119" s="3">
        <v>14882698</v>
      </c>
      <c r="H119" s="1">
        <v>3000</v>
      </c>
      <c r="I119" t="s">
        <v>28</v>
      </c>
      <c r="J119" s="1">
        <v>96877.13</v>
      </c>
      <c r="K119" t="s">
        <v>26</v>
      </c>
      <c r="L119">
        <v>171929</v>
      </c>
      <c r="M119" t="str">
        <f>"ROSHVINDER SINGH A/L"</f>
        <v>ROSHVINDER SINGH A/L</v>
      </c>
      <c r="O119">
        <v>1</v>
      </c>
      <c r="P119" t="str">
        <f>"PGTEFT2165"</f>
        <v>PGTEFT2165</v>
      </c>
      <c r="Q119" t="str">
        <f>"WELCOMING RECEPTION"</f>
        <v>WELCOMING RECEPTION</v>
      </c>
    </row>
    <row r="120" spans="1:17" x14ac:dyDescent="0.25">
      <c r="A120">
        <v>8003879954</v>
      </c>
      <c r="B120">
        <v>34</v>
      </c>
      <c r="C120">
        <v>24032017</v>
      </c>
      <c r="D120">
        <v>299</v>
      </c>
      <c r="E120" t="s">
        <v>30</v>
      </c>
      <c r="F120">
        <v>9938</v>
      </c>
      <c r="G120" s="3">
        <v>14882698</v>
      </c>
      <c r="H120" s="1">
        <v>0.01</v>
      </c>
      <c r="I120" t="s">
        <v>28</v>
      </c>
      <c r="J120" s="1">
        <v>99877.13</v>
      </c>
      <c r="K120" t="s">
        <v>26</v>
      </c>
      <c r="L120">
        <v>171929</v>
      </c>
      <c r="M120" t="str">
        <f>"PGTEFT2165          WELCOMING RECEPTION"</f>
        <v>PGTEFT2165          WELCOMING RECEPTION</v>
      </c>
      <c r="O120">
        <v>1</v>
      </c>
    </row>
    <row r="121" spans="1:17" x14ac:dyDescent="0.25">
      <c r="A121">
        <v>8003879954</v>
      </c>
      <c r="B121">
        <v>33</v>
      </c>
      <c r="C121">
        <v>24032017</v>
      </c>
      <c r="D121">
        <v>489</v>
      </c>
      <c r="E121" t="s">
        <v>31</v>
      </c>
      <c r="F121">
        <v>9938</v>
      </c>
      <c r="G121" s="3">
        <v>14882698</v>
      </c>
      <c r="H121" s="1">
        <v>0.1</v>
      </c>
      <c r="I121" t="s">
        <v>28</v>
      </c>
      <c r="J121" s="1">
        <v>99877.14</v>
      </c>
      <c r="K121" t="s">
        <v>26</v>
      </c>
      <c r="L121">
        <v>171929</v>
      </c>
      <c r="M121" t="str">
        <f>"PGTEFT2165          WELCOMING RECEPTION"</f>
        <v>PGTEFT2165          WELCOMING RECEPTION</v>
      </c>
      <c r="O121">
        <v>1</v>
      </c>
    </row>
    <row r="122" spans="1:17" x14ac:dyDescent="0.25">
      <c r="A122">
        <v>8003879954</v>
      </c>
      <c r="B122">
        <v>32</v>
      </c>
      <c r="C122">
        <v>24032017</v>
      </c>
      <c r="D122">
        <v>341</v>
      </c>
      <c r="E122" t="s">
        <v>29</v>
      </c>
      <c r="F122">
        <v>9938</v>
      </c>
      <c r="G122" s="3">
        <v>14883587</v>
      </c>
      <c r="H122" s="1">
        <v>3710</v>
      </c>
      <c r="I122" t="s">
        <v>28</v>
      </c>
      <c r="J122" s="1">
        <v>99877.24</v>
      </c>
      <c r="K122" t="s">
        <v>26</v>
      </c>
      <c r="L122">
        <v>171929</v>
      </c>
      <c r="M122" t="str">
        <f>"OPTIMAL MEDIA SDN BH"</f>
        <v>OPTIMAL MEDIA SDN BH</v>
      </c>
      <c r="O122">
        <v>1</v>
      </c>
      <c r="P122" t="str">
        <f>"PGTEFT2161"</f>
        <v>PGTEFT2161</v>
      </c>
      <c r="Q122" t="str">
        <f>"INV272"</f>
        <v>INV272</v>
      </c>
    </row>
    <row r="123" spans="1:17" x14ac:dyDescent="0.25">
      <c r="A123">
        <v>8003879954</v>
      </c>
      <c r="B123">
        <v>31</v>
      </c>
      <c r="C123">
        <v>24032017</v>
      </c>
      <c r="D123">
        <v>299</v>
      </c>
      <c r="E123" t="s">
        <v>30</v>
      </c>
      <c r="F123">
        <v>9938</v>
      </c>
      <c r="G123" s="3">
        <v>14883587</v>
      </c>
      <c r="H123" s="1">
        <v>0.01</v>
      </c>
      <c r="I123" t="s">
        <v>28</v>
      </c>
      <c r="J123" s="1">
        <v>103587.24</v>
      </c>
      <c r="K123" t="s">
        <v>26</v>
      </c>
      <c r="L123">
        <v>171929</v>
      </c>
      <c r="M123" t="str">
        <f>"PGTEFT2161          INV272"</f>
        <v>PGTEFT2161          INV272</v>
      </c>
      <c r="O123">
        <v>1</v>
      </c>
    </row>
    <row r="124" spans="1:17" x14ac:dyDescent="0.25">
      <c r="A124">
        <v>8003879954</v>
      </c>
      <c r="B124">
        <v>30</v>
      </c>
      <c r="C124">
        <v>24032017</v>
      </c>
      <c r="D124">
        <v>489</v>
      </c>
      <c r="E124" t="s">
        <v>31</v>
      </c>
      <c r="F124">
        <v>9938</v>
      </c>
      <c r="G124" s="3">
        <v>14883587</v>
      </c>
      <c r="H124" s="1">
        <v>0.1</v>
      </c>
      <c r="I124" t="s">
        <v>28</v>
      </c>
      <c r="J124" s="1">
        <v>103587.25</v>
      </c>
      <c r="K124" t="s">
        <v>26</v>
      </c>
      <c r="L124">
        <v>171929</v>
      </c>
      <c r="M124" t="str">
        <f>"PGTEFT2161          INV272"</f>
        <v>PGTEFT2161          INV272</v>
      </c>
      <c r="O124">
        <v>1</v>
      </c>
    </row>
    <row r="125" spans="1:17" x14ac:dyDescent="0.25">
      <c r="A125">
        <v>8003879954</v>
      </c>
      <c r="B125">
        <v>29</v>
      </c>
      <c r="C125">
        <v>24032017</v>
      </c>
      <c r="D125">
        <v>341</v>
      </c>
      <c r="E125" t="s">
        <v>29</v>
      </c>
      <c r="F125">
        <v>9938</v>
      </c>
      <c r="G125" s="3">
        <v>14883790</v>
      </c>
      <c r="H125" s="1">
        <v>500</v>
      </c>
      <c r="I125" t="s">
        <v>28</v>
      </c>
      <c r="J125" s="1">
        <v>103587.35</v>
      </c>
      <c r="K125" t="s">
        <v>26</v>
      </c>
      <c r="L125">
        <v>171929</v>
      </c>
      <c r="M125" t="str">
        <f>"LEE TER YI"</f>
        <v>LEE TER YI</v>
      </c>
      <c r="O125">
        <v>1</v>
      </c>
      <c r="P125" t="str">
        <f>"PGTEFT2159"</f>
        <v>PGTEFT2159</v>
      </c>
      <c r="Q125" t="str">
        <f>"INV20170301001"</f>
        <v>INV20170301001</v>
      </c>
    </row>
    <row r="126" spans="1:17" x14ac:dyDescent="0.25">
      <c r="A126">
        <v>8003879954</v>
      </c>
      <c r="B126">
        <v>28</v>
      </c>
      <c r="C126">
        <v>24032017</v>
      </c>
      <c r="D126">
        <v>299</v>
      </c>
      <c r="E126" t="s">
        <v>30</v>
      </c>
      <c r="F126">
        <v>9938</v>
      </c>
      <c r="G126" s="3">
        <v>14883790</v>
      </c>
      <c r="H126" s="1">
        <v>0.01</v>
      </c>
      <c r="I126" t="s">
        <v>28</v>
      </c>
      <c r="J126" s="1">
        <v>104087.35</v>
      </c>
      <c r="K126" t="s">
        <v>26</v>
      </c>
      <c r="L126">
        <v>171929</v>
      </c>
      <c r="M126" t="str">
        <f>"PGTEFT2159          INV20170301001"</f>
        <v>PGTEFT2159          INV20170301001</v>
      </c>
      <c r="O126">
        <v>1</v>
      </c>
    </row>
    <row r="127" spans="1:17" x14ac:dyDescent="0.25">
      <c r="A127">
        <v>8003879954</v>
      </c>
      <c r="B127">
        <v>27</v>
      </c>
      <c r="C127">
        <v>24032017</v>
      </c>
      <c r="D127">
        <v>489</v>
      </c>
      <c r="E127" t="s">
        <v>31</v>
      </c>
      <c r="F127">
        <v>9938</v>
      </c>
      <c r="G127" s="3">
        <v>14883790</v>
      </c>
      <c r="H127" s="1">
        <v>0.1</v>
      </c>
      <c r="I127" t="s">
        <v>28</v>
      </c>
      <c r="J127" s="1">
        <v>104087.36</v>
      </c>
      <c r="K127" t="s">
        <v>26</v>
      </c>
      <c r="L127">
        <v>171929</v>
      </c>
      <c r="M127" t="str">
        <f>"PGTEFT2159          INV20170301001"</f>
        <v>PGTEFT2159          INV20170301001</v>
      </c>
      <c r="O127">
        <v>1</v>
      </c>
    </row>
    <row r="128" spans="1:17" x14ac:dyDescent="0.25">
      <c r="A128">
        <v>8003879954</v>
      </c>
      <c r="B128">
        <v>26</v>
      </c>
      <c r="C128">
        <v>24032017</v>
      </c>
      <c r="D128">
        <v>341</v>
      </c>
      <c r="E128" t="s">
        <v>29</v>
      </c>
      <c r="F128">
        <v>9938</v>
      </c>
      <c r="G128" s="3">
        <v>14883926</v>
      </c>
      <c r="H128" s="1">
        <v>1200</v>
      </c>
      <c r="I128" t="s">
        <v>28</v>
      </c>
      <c r="J128" s="1">
        <v>104087.46</v>
      </c>
      <c r="K128" t="s">
        <v>26</v>
      </c>
      <c r="L128">
        <v>171047</v>
      </c>
      <c r="M128" t="str">
        <f>"LOH YIN SUET"</f>
        <v>LOH YIN SUET</v>
      </c>
      <c r="O128">
        <v>1</v>
      </c>
      <c r="P128" t="str">
        <f>"PGTEFT2158"</f>
        <v>PGTEFT2158</v>
      </c>
      <c r="Q128" t="str">
        <f>"GUIDE FEE FOR FEB"</f>
        <v>GUIDE FEE FOR FEB</v>
      </c>
    </row>
    <row r="129" spans="1:17" x14ac:dyDescent="0.25">
      <c r="A129">
        <v>8003879954</v>
      </c>
      <c r="B129">
        <v>25</v>
      </c>
      <c r="C129">
        <v>24032017</v>
      </c>
      <c r="D129">
        <v>299</v>
      </c>
      <c r="E129" t="s">
        <v>30</v>
      </c>
      <c r="F129">
        <v>9938</v>
      </c>
      <c r="G129" s="3">
        <v>14883926</v>
      </c>
      <c r="H129" s="1">
        <v>0.01</v>
      </c>
      <c r="I129" t="s">
        <v>28</v>
      </c>
      <c r="J129" s="1">
        <v>105287.46</v>
      </c>
      <c r="K129" t="s">
        <v>26</v>
      </c>
      <c r="L129">
        <v>171047</v>
      </c>
      <c r="M129" t="str">
        <f>"PGTEFT2158          GUIDE FEE FOR FEB"</f>
        <v>PGTEFT2158          GUIDE FEE FOR FEB</v>
      </c>
      <c r="O129">
        <v>1</v>
      </c>
    </row>
    <row r="130" spans="1:17" x14ac:dyDescent="0.25">
      <c r="A130">
        <v>8003879954</v>
      </c>
      <c r="B130">
        <v>24</v>
      </c>
      <c r="C130">
        <v>24032017</v>
      </c>
      <c r="D130">
        <v>489</v>
      </c>
      <c r="E130" t="s">
        <v>31</v>
      </c>
      <c r="F130">
        <v>9938</v>
      </c>
      <c r="G130" s="3">
        <v>14883926</v>
      </c>
      <c r="H130" s="1">
        <v>0.1</v>
      </c>
      <c r="I130" t="s">
        <v>28</v>
      </c>
      <c r="J130" s="1">
        <v>105287.47</v>
      </c>
      <c r="K130" t="s">
        <v>26</v>
      </c>
      <c r="L130">
        <v>171047</v>
      </c>
      <c r="M130" t="str">
        <f>"PGTEFT2158          GUIDE FEE FOR FEB"</f>
        <v>PGTEFT2158          GUIDE FEE FOR FEB</v>
      </c>
      <c r="O130">
        <v>1</v>
      </c>
    </row>
    <row r="131" spans="1:17" x14ac:dyDescent="0.25">
      <c r="A131">
        <v>8003879954</v>
      </c>
      <c r="B131">
        <v>23</v>
      </c>
      <c r="C131">
        <v>24032017</v>
      </c>
      <c r="D131">
        <v>341</v>
      </c>
      <c r="E131" t="s">
        <v>29</v>
      </c>
      <c r="F131">
        <v>9938</v>
      </c>
      <c r="G131" s="3">
        <v>14885019</v>
      </c>
      <c r="H131" s="1">
        <v>9264.4</v>
      </c>
      <c r="I131" t="s">
        <v>28</v>
      </c>
      <c r="J131" s="1">
        <v>105287.57</v>
      </c>
      <c r="K131" t="s">
        <v>26</v>
      </c>
      <c r="L131">
        <v>171047</v>
      </c>
      <c r="M131" t="str">
        <f>"CHEONG SENG CHAN SDN"</f>
        <v>CHEONG SENG CHAN SDN</v>
      </c>
      <c r="O131">
        <v>1</v>
      </c>
      <c r="P131" t="str">
        <f>"PGTEFT2152"</f>
        <v>PGTEFT2152</v>
      </c>
      <c r="Q131" t="str">
        <f>"INV6524 INV6539"</f>
        <v>INV6524 INV6539</v>
      </c>
    </row>
    <row r="132" spans="1:17" x14ac:dyDescent="0.25">
      <c r="A132">
        <v>8003879954</v>
      </c>
      <c r="B132">
        <v>22</v>
      </c>
      <c r="C132">
        <v>24032017</v>
      </c>
      <c r="D132">
        <v>299</v>
      </c>
      <c r="E132" t="s">
        <v>30</v>
      </c>
      <c r="F132">
        <v>9938</v>
      </c>
      <c r="G132" s="3">
        <v>14885019</v>
      </c>
      <c r="H132" s="1">
        <v>0.01</v>
      </c>
      <c r="I132" t="s">
        <v>28</v>
      </c>
      <c r="J132" s="1">
        <v>114551.97</v>
      </c>
      <c r="K132" t="s">
        <v>26</v>
      </c>
      <c r="L132">
        <v>171047</v>
      </c>
      <c r="M132" t="str">
        <f>"PGTEFT2152          INV6524 INV6539"</f>
        <v>PGTEFT2152          INV6524 INV6539</v>
      </c>
      <c r="O132">
        <v>1</v>
      </c>
    </row>
    <row r="133" spans="1:17" x14ac:dyDescent="0.25">
      <c r="A133">
        <v>8003879954</v>
      </c>
      <c r="B133">
        <v>21</v>
      </c>
      <c r="C133">
        <v>24032017</v>
      </c>
      <c r="D133">
        <v>489</v>
      </c>
      <c r="E133" t="s">
        <v>31</v>
      </c>
      <c r="F133">
        <v>9938</v>
      </c>
      <c r="G133" s="3">
        <v>14885019</v>
      </c>
      <c r="H133" s="1">
        <v>0.1</v>
      </c>
      <c r="I133" t="s">
        <v>28</v>
      </c>
      <c r="J133" s="1">
        <v>114551.98</v>
      </c>
      <c r="K133" t="s">
        <v>26</v>
      </c>
      <c r="L133">
        <v>171047</v>
      </c>
      <c r="M133" t="str">
        <f>"PGTEFT2152          INV6524 INV6539"</f>
        <v>PGTEFT2152          INV6524 INV6539</v>
      </c>
      <c r="O133">
        <v>1</v>
      </c>
    </row>
    <row r="134" spans="1:17" x14ac:dyDescent="0.25">
      <c r="A134">
        <v>8003879954</v>
      </c>
      <c r="B134">
        <v>20</v>
      </c>
      <c r="C134">
        <v>24032017</v>
      </c>
      <c r="D134">
        <v>341</v>
      </c>
      <c r="E134" t="s">
        <v>29</v>
      </c>
      <c r="F134">
        <v>9938</v>
      </c>
      <c r="G134" s="3">
        <v>14884198</v>
      </c>
      <c r="H134" s="1">
        <v>644.98</v>
      </c>
      <c r="I134" t="s">
        <v>28</v>
      </c>
      <c r="J134" s="1">
        <v>114552.08</v>
      </c>
      <c r="K134" t="s">
        <v>26</v>
      </c>
      <c r="L134">
        <v>171047</v>
      </c>
      <c r="M134" t="str">
        <f>"FUJI XEROX ASIA PACI"</f>
        <v>FUJI XEROX ASIA PACI</v>
      </c>
      <c r="O134">
        <v>1</v>
      </c>
      <c r="P134" t="str">
        <f>"PGTEFT2156"</f>
        <v>PGTEFT2156</v>
      </c>
      <c r="Q134" t="str">
        <f>"301214772 102455988"</f>
        <v>301214772 102455988</v>
      </c>
    </row>
    <row r="135" spans="1:17" x14ac:dyDescent="0.25">
      <c r="A135">
        <v>8003879954</v>
      </c>
      <c r="B135">
        <v>19</v>
      </c>
      <c r="C135">
        <v>24032017</v>
      </c>
      <c r="D135">
        <v>299</v>
      </c>
      <c r="E135" t="s">
        <v>30</v>
      </c>
      <c r="F135">
        <v>9938</v>
      </c>
      <c r="G135" s="3">
        <v>14884198</v>
      </c>
      <c r="H135" s="1">
        <v>0.01</v>
      </c>
      <c r="I135" t="s">
        <v>28</v>
      </c>
      <c r="J135" s="1">
        <v>115197.06</v>
      </c>
      <c r="K135" t="s">
        <v>26</v>
      </c>
      <c r="L135">
        <v>171047</v>
      </c>
      <c r="M135" t="str">
        <f>"PGTEFT2156          301214772 102455988"</f>
        <v>PGTEFT2156          301214772 102455988</v>
      </c>
      <c r="O135">
        <v>1</v>
      </c>
    </row>
    <row r="136" spans="1:17" x14ac:dyDescent="0.25">
      <c r="A136">
        <v>8003879954</v>
      </c>
      <c r="B136">
        <v>18</v>
      </c>
      <c r="C136">
        <v>24032017</v>
      </c>
      <c r="D136">
        <v>489</v>
      </c>
      <c r="E136" t="s">
        <v>31</v>
      </c>
      <c r="F136">
        <v>9938</v>
      </c>
      <c r="G136" s="3">
        <v>14884198</v>
      </c>
      <c r="H136" s="1">
        <v>0.1</v>
      </c>
      <c r="I136" t="s">
        <v>28</v>
      </c>
      <c r="J136" s="1">
        <v>115197.07</v>
      </c>
      <c r="K136" t="s">
        <v>26</v>
      </c>
      <c r="L136">
        <v>171047</v>
      </c>
      <c r="M136" t="str">
        <f>"PGTEFT2156          301214772 102455988"</f>
        <v>PGTEFT2156          301214772 102455988</v>
      </c>
      <c r="O136">
        <v>1</v>
      </c>
    </row>
    <row r="137" spans="1:17" x14ac:dyDescent="0.25">
      <c r="A137">
        <v>8003879954</v>
      </c>
      <c r="B137">
        <v>17</v>
      </c>
      <c r="C137">
        <v>24032017</v>
      </c>
      <c r="D137">
        <v>341</v>
      </c>
      <c r="E137" t="s">
        <v>29</v>
      </c>
      <c r="F137">
        <v>9938</v>
      </c>
      <c r="G137" s="3">
        <v>14884614</v>
      </c>
      <c r="H137" s="1">
        <v>18</v>
      </c>
      <c r="I137" t="s">
        <v>28</v>
      </c>
      <c r="J137" s="1">
        <v>115197.17</v>
      </c>
      <c r="K137" t="s">
        <v>26</v>
      </c>
      <c r="L137">
        <v>171047</v>
      </c>
      <c r="M137" t="str">
        <f>"EDITORIAL ASSOCIATES"</f>
        <v>EDITORIAL ASSOCIATES</v>
      </c>
      <c r="O137">
        <v>1</v>
      </c>
      <c r="P137" t="str">
        <f>"PGTEFT2154"</f>
        <v>PGTEFT2154</v>
      </c>
      <c r="Q137" t="str">
        <f>"SALES-FEB"</f>
        <v>SALES-FEB</v>
      </c>
    </row>
    <row r="138" spans="1:17" x14ac:dyDescent="0.25">
      <c r="A138">
        <v>8003879954</v>
      </c>
      <c r="B138">
        <v>16</v>
      </c>
      <c r="C138">
        <v>24032017</v>
      </c>
      <c r="D138">
        <v>299</v>
      </c>
      <c r="E138" t="s">
        <v>30</v>
      </c>
      <c r="F138">
        <v>9938</v>
      </c>
      <c r="G138" s="3">
        <v>14884614</v>
      </c>
      <c r="H138" s="1">
        <v>0.01</v>
      </c>
      <c r="I138" t="s">
        <v>28</v>
      </c>
      <c r="J138" s="1">
        <v>115215.17</v>
      </c>
      <c r="K138" t="s">
        <v>26</v>
      </c>
      <c r="L138">
        <v>171047</v>
      </c>
      <c r="M138" t="str">
        <f>"PGTEFT2154          SALES-FEB"</f>
        <v>PGTEFT2154          SALES-FEB</v>
      </c>
      <c r="O138">
        <v>1</v>
      </c>
    </row>
    <row r="139" spans="1:17" x14ac:dyDescent="0.25">
      <c r="A139">
        <v>8003879954</v>
      </c>
      <c r="B139">
        <v>15</v>
      </c>
      <c r="C139">
        <v>24032017</v>
      </c>
      <c r="D139">
        <v>489</v>
      </c>
      <c r="E139" t="s">
        <v>31</v>
      </c>
      <c r="F139">
        <v>9938</v>
      </c>
      <c r="G139" s="3">
        <v>14884614</v>
      </c>
      <c r="H139" s="1">
        <v>0.1</v>
      </c>
      <c r="I139" t="s">
        <v>28</v>
      </c>
      <c r="J139" s="1">
        <v>115215.18</v>
      </c>
      <c r="K139" t="s">
        <v>26</v>
      </c>
      <c r="L139">
        <v>171047</v>
      </c>
      <c r="M139" t="str">
        <f>"PGTEFT2154          SALES-FEB"</f>
        <v>PGTEFT2154          SALES-FEB</v>
      </c>
      <c r="O139">
        <v>1</v>
      </c>
    </row>
    <row r="140" spans="1:17" x14ac:dyDescent="0.25">
      <c r="A140">
        <v>8003879954</v>
      </c>
      <c r="B140">
        <v>14</v>
      </c>
      <c r="C140">
        <v>24032017</v>
      </c>
      <c r="D140">
        <v>60</v>
      </c>
      <c r="E140" t="s">
        <v>43</v>
      </c>
      <c r="F140">
        <v>9938</v>
      </c>
      <c r="G140" s="3">
        <v>14885298</v>
      </c>
      <c r="H140" s="1">
        <v>410</v>
      </c>
      <c r="I140" t="s">
        <v>28</v>
      </c>
      <c r="J140" s="1">
        <v>115215.28</v>
      </c>
      <c r="K140" t="s">
        <v>26</v>
      </c>
      <c r="L140">
        <v>171046</v>
      </c>
      <c r="M140" t="str">
        <f>"EA FORM &amp; FORM E CORPORATENET ADVISO"</f>
        <v>EA FORM &amp; FORM E CORPORATENET ADVISO</v>
      </c>
      <c r="O140">
        <v>1</v>
      </c>
      <c r="P140" t="str">
        <f>"PGTEFT2150"</f>
        <v>PGTEFT2150</v>
      </c>
      <c r="Q140" t="str">
        <f>"CA-17-0036"</f>
        <v>CA-17-0036</v>
      </c>
    </row>
    <row r="141" spans="1:17" x14ac:dyDescent="0.25">
      <c r="A141">
        <v>8003879954</v>
      </c>
      <c r="B141">
        <v>13</v>
      </c>
      <c r="C141">
        <v>24032017</v>
      </c>
      <c r="D141">
        <v>341</v>
      </c>
      <c r="E141" t="s">
        <v>29</v>
      </c>
      <c r="F141">
        <v>9938</v>
      </c>
      <c r="G141" s="3">
        <v>14884415</v>
      </c>
      <c r="H141" s="1">
        <v>7856.59</v>
      </c>
      <c r="I141" t="s">
        <v>28</v>
      </c>
      <c r="J141" s="1">
        <v>115625.28</v>
      </c>
      <c r="K141" t="s">
        <v>26</v>
      </c>
      <c r="L141">
        <v>171046</v>
      </c>
      <c r="M141" t="str">
        <f>"ELITE TRANSLATIONS A"</f>
        <v>ELITE TRANSLATIONS A</v>
      </c>
      <c r="O141">
        <v>1</v>
      </c>
      <c r="P141" t="str">
        <f>"PGTEFT2155"</f>
        <v>PGTEFT2155</v>
      </c>
      <c r="Q141" t="str">
        <f>"S1703001"</f>
        <v>S1703001</v>
      </c>
    </row>
    <row r="142" spans="1:17" x14ac:dyDescent="0.25">
      <c r="A142">
        <v>8003879954</v>
      </c>
      <c r="B142">
        <v>12</v>
      </c>
      <c r="C142">
        <v>24032017</v>
      </c>
      <c r="D142">
        <v>299</v>
      </c>
      <c r="E142" t="s">
        <v>30</v>
      </c>
      <c r="F142">
        <v>9938</v>
      </c>
      <c r="G142" s="3">
        <v>14884415</v>
      </c>
      <c r="H142" s="1">
        <v>0.01</v>
      </c>
      <c r="I142" t="s">
        <v>28</v>
      </c>
      <c r="J142" s="1">
        <v>123481.87</v>
      </c>
      <c r="K142" t="s">
        <v>26</v>
      </c>
      <c r="L142">
        <v>171046</v>
      </c>
      <c r="M142" t="str">
        <f>"PGTEFT2155          S1703001"</f>
        <v>PGTEFT2155          S1703001</v>
      </c>
      <c r="O142">
        <v>1</v>
      </c>
    </row>
    <row r="143" spans="1:17" x14ac:dyDescent="0.25">
      <c r="A143">
        <v>8003879954</v>
      </c>
      <c r="B143">
        <v>11</v>
      </c>
      <c r="C143">
        <v>24032017</v>
      </c>
      <c r="D143">
        <v>489</v>
      </c>
      <c r="E143" t="s">
        <v>31</v>
      </c>
      <c r="F143">
        <v>9938</v>
      </c>
      <c r="G143" s="3">
        <v>14884415</v>
      </c>
      <c r="H143" s="1">
        <v>0.1</v>
      </c>
      <c r="I143" t="s">
        <v>28</v>
      </c>
      <c r="J143" s="1">
        <v>123481.88</v>
      </c>
      <c r="K143" t="s">
        <v>26</v>
      </c>
      <c r="L143">
        <v>171046</v>
      </c>
      <c r="M143" t="str">
        <f>"PGTEFT2155          S1703001"</f>
        <v>PGTEFT2155          S1703001</v>
      </c>
      <c r="O143">
        <v>1</v>
      </c>
    </row>
    <row r="144" spans="1:17" x14ac:dyDescent="0.25">
      <c r="A144">
        <v>8003879954</v>
      </c>
      <c r="B144">
        <v>10</v>
      </c>
      <c r="C144">
        <v>24032017</v>
      </c>
      <c r="D144">
        <v>341</v>
      </c>
      <c r="E144" t="s">
        <v>29</v>
      </c>
      <c r="F144">
        <v>9938</v>
      </c>
      <c r="G144" s="3">
        <v>14885185</v>
      </c>
      <c r="H144" s="1">
        <v>124</v>
      </c>
      <c r="I144" t="s">
        <v>28</v>
      </c>
      <c r="J144" s="1">
        <v>123481.98</v>
      </c>
      <c r="K144" t="s">
        <v>26</v>
      </c>
      <c r="L144">
        <v>171046</v>
      </c>
      <c r="M144" t="str">
        <f>"CLARITY PUBLISHING S"</f>
        <v>CLARITY PUBLISHING S</v>
      </c>
      <c r="O144">
        <v>1</v>
      </c>
      <c r="P144" t="str">
        <f>"PGTEFT2151"</f>
        <v>PGTEFT2151</v>
      </c>
      <c r="Q144" t="str">
        <f>"PGT02-17INV"</f>
        <v>PGT02-17INV</v>
      </c>
    </row>
    <row r="145" spans="1:19" x14ac:dyDescent="0.25">
      <c r="A145">
        <v>8003879954</v>
      </c>
      <c r="B145">
        <v>9</v>
      </c>
      <c r="C145">
        <v>24032017</v>
      </c>
      <c r="D145">
        <v>299</v>
      </c>
      <c r="E145" t="s">
        <v>30</v>
      </c>
      <c r="F145">
        <v>9938</v>
      </c>
      <c r="G145" s="3">
        <v>14885185</v>
      </c>
      <c r="H145" s="1">
        <v>0.01</v>
      </c>
      <c r="I145" t="s">
        <v>28</v>
      </c>
      <c r="J145" s="1">
        <v>123605.98</v>
      </c>
      <c r="K145" t="s">
        <v>26</v>
      </c>
      <c r="L145">
        <v>171046</v>
      </c>
      <c r="M145" t="str">
        <f>"PGTEFT2151          PGT02-17INV"</f>
        <v>PGTEFT2151          PGT02-17INV</v>
      </c>
      <c r="O145">
        <v>1</v>
      </c>
    </row>
    <row r="146" spans="1:19" x14ac:dyDescent="0.25">
      <c r="A146">
        <v>8003879954</v>
      </c>
      <c r="B146">
        <v>8</v>
      </c>
      <c r="C146">
        <v>24032017</v>
      </c>
      <c r="D146">
        <v>489</v>
      </c>
      <c r="E146" t="s">
        <v>31</v>
      </c>
      <c r="F146">
        <v>9938</v>
      </c>
      <c r="G146" s="3">
        <v>14885185</v>
      </c>
      <c r="H146" s="1">
        <v>0.1</v>
      </c>
      <c r="I146" t="s">
        <v>28</v>
      </c>
      <c r="J146" s="1">
        <v>123605.99</v>
      </c>
      <c r="K146" t="s">
        <v>26</v>
      </c>
      <c r="L146">
        <v>171046</v>
      </c>
      <c r="M146" t="str">
        <f>"PGTEFT2151          PGT02-17INV"</f>
        <v>PGTEFT2151          PGT02-17INV</v>
      </c>
      <c r="O146">
        <v>1</v>
      </c>
    </row>
    <row r="147" spans="1:19" x14ac:dyDescent="0.25">
      <c r="A147">
        <v>8003879954</v>
      </c>
      <c r="B147">
        <v>7</v>
      </c>
      <c r="C147">
        <v>24032017</v>
      </c>
      <c r="D147">
        <v>341</v>
      </c>
      <c r="E147" t="s">
        <v>29</v>
      </c>
      <c r="F147">
        <v>9938</v>
      </c>
      <c r="G147" s="3">
        <v>14884046</v>
      </c>
      <c r="H147" s="1">
        <v>94.5</v>
      </c>
      <c r="I147" t="s">
        <v>28</v>
      </c>
      <c r="J147" s="1">
        <v>123606.09</v>
      </c>
      <c r="K147" t="s">
        <v>26</v>
      </c>
      <c r="L147">
        <v>171046</v>
      </c>
      <c r="M147" t="str">
        <f>"KAKI CREATION"</f>
        <v>KAKI CREATION</v>
      </c>
      <c r="O147">
        <v>1</v>
      </c>
      <c r="P147" t="str">
        <f>"PGTEFT2157"</f>
        <v>PGTEFT2157</v>
      </c>
      <c r="Q147" t="str">
        <f>"KKCN17-IV010 014"</f>
        <v>KKCN17-IV010 014</v>
      </c>
    </row>
    <row r="148" spans="1:19" x14ac:dyDescent="0.25">
      <c r="A148">
        <v>8003879954</v>
      </c>
      <c r="B148">
        <v>6</v>
      </c>
      <c r="C148">
        <v>24032017</v>
      </c>
      <c r="D148">
        <v>299</v>
      </c>
      <c r="E148" t="s">
        <v>30</v>
      </c>
      <c r="F148">
        <v>9938</v>
      </c>
      <c r="G148" s="3">
        <v>14884046</v>
      </c>
      <c r="H148" s="1">
        <v>0.01</v>
      </c>
      <c r="I148" t="s">
        <v>28</v>
      </c>
      <c r="J148" s="1">
        <v>123700.59</v>
      </c>
      <c r="K148" t="s">
        <v>26</v>
      </c>
      <c r="L148">
        <v>171046</v>
      </c>
      <c r="M148" t="str">
        <f>"PGTEFT2157          KKCN17-IV010 014"</f>
        <v>PGTEFT2157          KKCN17-IV010 014</v>
      </c>
      <c r="O148">
        <v>1</v>
      </c>
    </row>
    <row r="149" spans="1:19" x14ac:dyDescent="0.25">
      <c r="A149">
        <v>8003879954</v>
      </c>
      <c r="B149">
        <v>5</v>
      </c>
      <c r="C149">
        <v>24032017</v>
      </c>
      <c r="D149">
        <v>489</v>
      </c>
      <c r="E149" t="s">
        <v>31</v>
      </c>
      <c r="F149">
        <v>9938</v>
      </c>
      <c r="G149" s="3">
        <v>14884046</v>
      </c>
      <c r="H149" s="1">
        <v>0.1</v>
      </c>
      <c r="I149" t="s">
        <v>28</v>
      </c>
      <c r="J149" s="1">
        <v>123700.6</v>
      </c>
      <c r="K149" t="s">
        <v>26</v>
      </c>
      <c r="L149">
        <v>171046</v>
      </c>
      <c r="M149" t="str">
        <f>"PGTEFT2157          KKCN17-IV010 014"</f>
        <v>PGTEFT2157          KKCN17-IV010 014</v>
      </c>
      <c r="O149">
        <v>1</v>
      </c>
    </row>
    <row r="150" spans="1:19" x14ac:dyDescent="0.25">
      <c r="A150">
        <v>8003879954</v>
      </c>
      <c r="B150">
        <v>4</v>
      </c>
      <c r="C150">
        <v>24032017</v>
      </c>
      <c r="D150">
        <v>341</v>
      </c>
      <c r="E150" t="s">
        <v>29</v>
      </c>
      <c r="F150">
        <v>9938</v>
      </c>
      <c r="G150" s="3">
        <v>14884856</v>
      </c>
      <c r="H150" s="1">
        <v>9770</v>
      </c>
      <c r="I150" t="s">
        <v>28</v>
      </c>
      <c r="J150" s="1">
        <v>123700.7</v>
      </c>
      <c r="K150" t="s">
        <v>26</v>
      </c>
      <c r="L150">
        <v>171045</v>
      </c>
      <c r="M150" t="str">
        <f>"DISCOVERY OVERLAND H"</f>
        <v>DISCOVERY OVERLAND H</v>
      </c>
      <c r="O150">
        <v>1</v>
      </c>
      <c r="P150" t="str">
        <f>"PGTEFT2153"</f>
        <v>PGTEFT2153</v>
      </c>
      <c r="Q150" t="str">
        <f>"INV730642"</f>
        <v>INV730642</v>
      </c>
    </row>
    <row r="151" spans="1:19" x14ac:dyDescent="0.25">
      <c r="A151">
        <v>8003879954</v>
      </c>
      <c r="B151">
        <v>3</v>
      </c>
      <c r="C151">
        <v>24032017</v>
      </c>
      <c r="D151">
        <v>299</v>
      </c>
      <c r="E151" t="s">
        <v>30</v>
      </c>
      <c r="F151">
        <v>9938</v>
      </c>
      <c r="G151" s="3">
        <v>14884856</v>
      </c>
      <c r="H151" s="1">
        <v>0.01</v>
      </c>
      <c r="I151" t="s">
        <v>28</v>
      </c>
      <c r="J151" s="1">
        <v>133470.70000000001</v>
      </c>
      <c r="K151" t="s">
        <v>26</v>
      </c>
      <c r="L151">
        <v>171045</v>
      </c>
      <c r="M151" t="str">
        <f>"PGTEFT2153          INV730642"</f>
        <v>PGTEFT2153          INV730642</v>
      </c>
      <c r="O151">
        <v>1</v>
      </c>
    </row>
    <row r="152" spans="1:19" x14ac:dyDescent="0.25">
      <c r="A152">
        <v>8003879954</v>
      </c>
      <c r="B152">
        <v>2</v>
      </c>
      <c r="C152">
        <v>24032017</v>
      </c>
      <c r="D152">
        <v>489</v>
      </c>
      <c r="E152" t="s">
        <v>31</v>
      </c>
      <c r="F152">
        <v>9938</v>
      </c>
      <c r="G152" s="3">
        <v>14884856</v>
      </c>
      <c r="H152" s="1">
        <v>0.1</v>
      </c>
      <c r="I152" t="s">
        <v>28</v>
      </c>
      <c r="J152" s="1">
        <v>133470.71</v>
      </c>
      <c r="K152" t="s">
        <v>26</v>
      </c>
      <c r="L152">
        <v>171045</v>
      </c>
      <c r="M152" t="str">
        <f>"PGTEFT2153          INV730642"</f>
        <v>PGTEFT2153          INV730642</v>
      </c>
      <c r="O152">
        <v>1</v>
      </c>
    </row>
    <row r="153" spans="1:19" x14ac:dyDescent="0.25">
      <c r="A153">
        <v>8003879954</v>
      </c>
      <c r="B153">
        <v>1</v>
      </c>
      <c r="C153">
        <v>24032017</v>
      </c>
      <c r="D153">
        <v>60</v>
      </c>
      <c r="E153" t="s">
        <v>43</v>
      </c>
      <c r="F153">
        <v>9938</v>
      </c>
      <c r="G153" s="3">
        <v>14893352</v>
      </c>
      <c r="H153" s="1">
        <v>2240</v>
      </c>
      <c r="I153" t="s">
        <v>28</v>
      </c>
      <c r="J153" s="1">
        <v>133470.81</v>
      </c>
      <c r="K153" t="s">
        <v>26</v>
      </c>
      <c r="L153">
        <v>171042</v>
      </c>
      <c r="M153" t="str">
        <f>"PMED T-SHIRT WORKSTAR SOLUTIONS"</f>
        <v>PMED T-SHIRT WORKSTAR SOLUTIONS</v>
      </c>
      <c r="O153">
        <v>1</v>
      </c>
      <c r="P153" t="str">
        <f>"PGTEFT2178"</f>
        <v>PGTEFT2178</v>
      </c>
      <c r="Q153" t="str">
        <f>"A000106"</f>
        <v>A000106</v>
      </c>
    </row>
    <row r="154" spans="1:19" x14ac:dyDescent="0.25">
      <c r="A154">
        <v>8003879954</v>
      </c>
      <c r="B154">
        <v>5</v>
      </c>
      <c r="C154">
        <v>16032017</v>
      </c>
      <c r="D154">
        <v>121</v>
      </c>
      <c r="E154" t="s">
        <v>25</v>
      </c>
      <c r="F154">
        <v>2007</v>
      </c>
      <c r="G154" s="3">
        <v>28281535</v>
      </c>
      <c r="H154" s="1">
        <v>2000</v>
      </c>
      <c r="I154" s="1" t="s">
        <v>26</v>
      </c>
      <c r="J154" s="1">
        <v>135710.81</v>
      </c>
      <c r="K154" t="s">
        <v>26</v>
      </c>
      <c r="L154">
        <v>190619</v>
      </c>
      <c r="M154" t="str">
        <f>""</f>
        <v/>
      </c>
      <c r="O154">
        <v>1</v>
      </c>
      <c r="S154">
        <f t="shared" ref="S154:S185" si="0">SUM(A154:R154)</f>
        <v>8048523969.8100004</v>
      </c>
    </row>
    <row r="155" spans="1:19" x14ac:dyDescent="0.25">
      <c r="A155">
        <v>8003879954</v>
      </c>
      <c r="B155">
        <v>4</v>
      </c>
      <c r="C155">
        <v>16032017</v>
      </c>
      <c r="D155">
        <v>345</v>
      </c>
      <c r="E155" t="s">
        <v>27</v>
      </c>
      <c r="F155">
        <v>9938</v>
      </c>
      <c r="G155" s="3">
        <v>14627676</v>
      </c>
      <c r="H155" s="1">
        <v>1300</v>
      </c>
      <c r="I155" s="1" t="s">
        <v>28</v>
      </c>
      <c r="J155" s="1">
        <v>133710.81</v>
      </c>
      <c r="K155" t="s">
        <v>26</v>
      </c>
      <c r="L155">
        <v>142727</v>
      </c>
      <c r="M155" t="str">
        <f>"CRUISE ARRIVAL SIM KOK JIUN"</f>
        <v>CRUISE ARRIVAL SIM KOK JIUN</v>
      </c>
      <c r="O155">
        <v>1</v>
      </c>
      <c r="P155" t="str">
        <f>"PGTEFT2146"</f>
        <v>PGTEFT2146</v>
      </c>
      <c r="Q155" t="str">
        <f>"ADVANCE"</f>
        <v>ADVANCE</v>
      </c>
      <c r="S155">
        <f t="shared" si="0"/>
        <v>8034827672.8100004</v>
      </c>
    </row>
    <row r="156" spans="1:19" x14ac:dyDescent="0.25">
      <c r="A156">
        <v>8003879954</v>
      </c>
      <c r="B156">
        <v>3</v>
      </c>
      <c r="C156">
        <v>16032017</v>
      </c>
      <c r="D156">
        <v>341</v>
      </c>
      <c r="E156" t="s">
        <v>29</v>
      </c>
      <c r="F156">
        <v>9938</v>
      </c>
      <c r="G156" s="3">
        <v>14627873</v>
      </c>
      <c r="H156" s="1">
        <v>360</v>
      </c>
      <c r="I156" s="1" t="s">
        <v>28</v>
      </c>
      <c r="J156" s="1">
        <v>135010.81</v>
      </c>
      <c r="K156" t="s">
        <v>26</v>
      </c>
      <c r="L156">
        <v>142725</v>
      </c>
      <c r="M156" t="str">
        <f>"KL METRO LAND DEVELO"</f>
        <v>KL METRO LAND DEVELO</v>
      </c>
      <c r="O156">
        <v>1</v>
      </c>
      <c r="P156" t="str">
        <f>"PGTEFT2147"</f>
        <v>PGTEFT2147</v>
      </c>
      <c r="Q156" t="str">
        <f>"PROFORMA INV"</f>
        <v>PROFORMA INV</v>
      </c>
      <c r="S156">
        <f t="shared" si="0"/>
        <v>8034828222.8100004</v>
      </c>
    </row>
    <row r="157" spans="1:19" x14ac:dyDescent="0.25">
      <c r="A157">
        <v>8003879954</v>
      </c>
      <c r="B157">
        <v>2</v>
      </c>
      <c r="C157">
        <v>16032017</v>
      </c>
      <c r="D157">
        <v>299</v>
      </c>
      <c r="E157" t="s">
        <v>30</v>
      </c>
      <c r="F157">
        <v>9938</v>
      </c>
      <c r="G157" s="3">
        <v>14627873</v>
      </c>
      <c r="H157" s="1">
        <v>0.01</v>
      </c>
      <c r="I157" s="1" t="s">
        <v>28</v>
      </c>
      <c r="J157" s="1">
        <v>135370.81</v>
      </c>
      <c r="K157" t="s">
        <v>26</v>
      </c>
      <c r="L157">
        <v>142725</v>
      </c>
      <c r="M157" t="str">
        <f>"PGTEFT2147          PROFORMA INV"</f>
        <v>PGTEFT2147          PROFORMA INV</v>
      </c>
      <c r="O157">
        <v>1</v>
      </c>
      <c r="S157">
        <f t="shared" si="0"/>
        <v>8034828179.8200006</v>
      </c>
    </row>
    <row r="158" spans="1:19" x14ac:dyDescent="0.25">
      <c r="A158">
        <v>8003879954</v>
      </c>
      <c r="B158">
        <v>1</v>
      </c>
      <c r="C158">
        <v>16032017</v>
      </c>
      <c r="D158">
        <v>489</v>
      </c>
      <c r="E158" t="s">
        <v>31</v>
      </c>
      <c r="F158">
        <v>9938</v>
      </c>
      <c r="G158" s="3">
        <v>14627873</v>
      </c>
      <c r="H158" s="1">
        <v>0.1</v>
      </c>
      <c r="I158" s="1" t="s">
        <v>28</v>
      </c>
      <c r="J158" s="1">
        <v>135370.82</v>
      </c>
      <c r="K158" t="s">
        <v>26</v>
      </c>
      <c r="L158">
        <v>142725</v>
      </c>
      <c r="M158" t="str">
        <f>"PGTEFT2147          PROFORMA INV"</f>
        <v>PGTEFT2147          PROFORMA INV</v>
      </c>
      <c r="O158">
        <v>1</v>
      </c>
      <c r="S158">
        <f t="shared" si="0"/>
        <v>8034828368.9200001</v>
      </c>
    </row>
    <row r="159" spans="1:19" x14ac:dyDescent="0.25">
      <c r="A159">
        <v>8003879954</v>
      </c>
      <c r="B159">
        <v>11</v>
      </c>
      <c r="C159">
        <v>15032017</v>
      </c>
      <c r="D159">
        <v>299</v>
      </c>
      <c r="E159" t="s">
        <v>30</v>
      </c>
      <c r="H159" s="1">
        <v>0.15</v>
      </c>
      <c r="I159" s="1" t="s">
        <v>28</v>
      </c>
      <c r="J159" s="1">
        <v>135370.92000000001</v>
      </c>
      <c r="K159" t="s">
        <v>26</v>
      </c>
      <c r="L159">
        <v>10015</v>
      </c>
      <c r="M159" t="str">
        <f>""</f>
        <v/>
      </c>
      <c r="O159">
        <v>1</v>
      </c>
      <c r="S159">
        <f t="shared" si="0"/>
        <v>8019057668.0699997</v>
      </c>
    </row>
    <row r="160" spans="1:19" x14ac:dyDescent="0.25">
      <c r="A160">
        <v>8003879954</v>
      </c>
      <c r="B160">
        <v>10</v>
      </c>
      <c r="C160">
        <v>15032017</v>
      </c>
      <c r="D160">
        <v>819</v>
      </c>
      <c r="E160" t="s">
        <v>32</v>
      </c>
      <c r="H160" s="1">
        <v>2.5</v>
      </c>
      <c r="I160" s="1" t="s">
        <v>28</v>
      </c>
      <c r="J160" s="1">
        <v>135371.07</v>
      </c>
      <c r="K160" t="s">
        <v>26</v>
      </c>
      <c r="L160">
        <v>10015</v>
      </c>
      <c r="M160" t="str">
        <f>""</f>
        <v/>
      </c>
      <c r="O160">
        <v>1</v>
      </c>
      <c r="S160">
        <f t="shared" si="0"/>
        <v>8019058189.5699997</v>
      </c>
    </row>
    <row r="161" spans="1:19" x14ac:dyDescent="0.25">
      <c r="A161">
        <v>8003879954</v>
      </c>
      <c r="B161">
        <v>9</v>
      </c>
      <c r="C161">
        <v>15032017</v>
      </c>
      <c r="D161">
        <v>323</v>
      </c>
      <c r="E161" t="s">
        <v>33</v>
      </c>
      <c r="F161">
        <v>0</v>
      </c>
      <c r="G161" s="3">
        <v>687896</v>
      </c>
      <c r="H161" s="1">
        <v>1500000</v>
      </c>
      <c r="I161" s="1" t="s">
        <v>28</v>
      </c>
      <c r="J161" s="1">
        <v>135373.57</v>
      </c>
      <c r="K161" t="s">
        <v>26</v>
      </c>
      <c r="L161">
        <v>5720</v>
      </c>
      <c r="M161" t="str">
        <f>""</f>
        <v/>
      </c>
      <c r="O161">
        <v>1</v>
      </c>
      <c r="S161">
        <f t="shared" si="0"/>
        <v>8021241293.5699997</v>
      </c>
    </row>
    <row r="162" spans="1:19" x14ac:dyDescent="0.25">
      <c r="A162">
        <v>8003879954</v>
      </c>
      <c r="B162">
        <v>8</v>
      </c>
      <c r="C162">
        <v>15032017</v>
      </c>
      <c r="D162">
        <v>323</v>
      </c>
      <c r="E162" t="s">
        <v>33</v>
      </c>
      <c r="F162">
        <v>0</v>
      </c>
      <c r="G162" s="3">
        <v>687892</v>
      </c>
      <c r="H162" s="1">
        <v>10952.95</v>
      </c>
      <c r="I162" s="1" t="s">
        <v>28</v>
      </c>
      <c r="J162" s="1">
        <v>1635373.57</v>
      </c>
      <c r="K162" t="s">
        <v>26</v>
      </c>
      <c r="L162">
        <v>5720</v>
      </c>
      <c r="M162" t="str">
        <f>""</f>
        <v/>
      </c>
      <c r="O162">
        <v>1</v>
      </c>
      <c r="S162">
        <f t="shared" si="0"/>
        <v>8021252241.5199995</v>
      </c>
    </row>
    <row r="163" spans="1:19" x14ac:dyDescent="0.25">
      <c r="A163">
        <v>8003879954</v>
      </c>
      <c r="B163">
        <v>7</v>
      </c>
      <c r="C163">
        <v>15032017</v>
      </c>
      <c r="D163">
        <v>323</v>
      </c>
      <c r="E163" t="s">
        <v>33</v>
      </c>
      <c r="F163">
        <v>0</v>
      </c>
      <c r="G163" s="3">
        <v>687890</v>
      </c>
      <c r="H163" s="1">
        <v>14999</v>
      </c>
      <c r="I163" s="1" t="s">
        <v>28</v>
      </c>
      <c r="J163" s="1">
        <v>1646326.52</v>
      </c>
      <c r="K163" t="s">
        <v>26</v>
      </c>
      <c r="L163">
        <v>5720</v>
      </c>
      <c r="M163" t="str">
        <f>""</f>
        <v/>
      </c>
      <c r="O163">
        <v>1</v>
      </c>
      <c r="S163">
        <f t="shared" si="0"/>
        <v>8021267237.5200005</v>
      </c>
    </row>
    <row r="164" spans="1:19" x14ac:dyDescent="0.25">
      <c r="A164">
        <v>8003879954</v>
      </c>
      <c r="B164">
        <v>6</v>
      </c>
      <c r="C164">
        <v>15032017</v>
      </c>
      <c r="D164">
        <v>323</v>
      </c>
      <c r="E164" t="s">
        <v>33</v>
      </c>
      <c r="F164">
        <v>0</v>
      </c>
      <c r="G164" s="3">
        <v>687889</v>
      </c>
      <c r="H164" s="1">
        <v>13282.5</v>
      </c>
      <c r="I164" s="1" t="s">
        <v>28</v>
      </c>
      <c r="J164" s="1">
        <v>1661325.52</v>
      </c>
      <c r="K164" t="s">
        <v>26</v>
      </c>
      <c r="L164">
        <v>5720</v>
      </c>
      <c r="M164" t="str">
        <f>""</f>
        <v/>
      </c>
      <c r="O164">
        <v>1</v>
      </c>
      <c r="S164">
        <f t="shared" si="0"/>
        <v>8021280518.0200005</v>
      </c>
    </row>
    <row r="165" spans="1:19" x14ac:dyDescent="0.25">
      <c r="A165">
        <v>8003879954</v>
      </c>
      <c r="B165">
        <v>5</v>
      </c>
      <c r="C165">
        <v>15032017</v>
      </c>
      <c r="D165">
        <v>323</v>
      </c>
      <c r="E165" t="s">
        <v>33</v>
      </c>
      <c r="F165">
        <v>0</v>
      </c>
      <c r="G165" s="3">
        <v>687888</v>
      </c>
      <c r="H165" s="1">
        <v>49268.800000000003</v>
      </c>
      <c r="I165" s="1" t="s">
        <v>28</v>
      </c>
      <c r="J165" s="1">
        <v>1674608.02</v>
      </c>
      <c r="K165" t="s">
        <v>26</v>
      </c>
      <c r="L165">
        <v>5720</v>
      </c>
      <c r="M165" t="str">
        <f>""</f>
        <v/>
      </c>
      <c r="O165">
        <v>1</v>
      </c>
      <c r="S165">
        <f t="shared" si="0"/>
        <v>8021329784.8200006</v>
      </c>
    </row>
    <row r="166" spans="1:19" x14ac:dyDescent="0.25">
      <c r="A166">
        <v>8003879954</v>
      </c>
      <c r="B166">
        <v>4</v>
      </c>
      <c r="C166">
        <v>15032017</v>
      </c>
      <c r="D166">
        <v>299</v>
      </c>
      <c r="E166" t="s">
        <v>44</v>
      </c>
      <c r="F166">
        <v>72</v>
      </c>
      <c r="G166" s="3">
        <v>212860075</v>
      </c>
      <c r="H166" s="1">
        <v>1.8</v>
      </c>
      <c r="I166" s="1" t="s">
        <v>28</v>
      </c>
      <c r="J166" s="1">
        <v>1723876.82</v>
      </c>
      <c r="K166" t="s">
        <v>26</v>
      </c>
      <c r="L166">
        <v>170509</v>
      </c>
      <c r="M166" t="str">
        <f>"20008150317T0238"</f>
        <v>20008150317T0238</v>
      </c>
      <c r="O166">
        <v>1</v>
      </c>
      <c r="S166">
        <f t="shared" si="0"/>
        <v>8233666809.6199999</v>
      </c>
    </row>
    <row r="167" spans="1:19" x14ac:dyDescent="0.25">
      <c r="A167">
        <v>8003879954</v>
      </c>
      <c r="B167">
        <v>3</v>
      </c>
      <c r="C167">
        <v>15032017</v>
      </c>
      <c r="D167">
        <v>415</v>
      </c>
      <c r="E167" t="s">
        <v>34</v>
      </c>
      <c r="F167">
        <v>72</v>
      </c>
      <c r="G167" s="3">
        <v>212860075</v>
      </c>
      <c r="H167" s="1">
        <v>30</v>
      </c>
      <c r="I167" s="1" t="s">
        <v>28</v>
      </c>
      <c r="J167" s="1">
        <v>1723878.62</v>
      </c>
      <c r="K167" t="s">
        <v>26</v>
      </c>
      <c r="L167">
        <v>170509</v>
      </c>
      <c r="M167" t="str">
        <f>"20008150317T0238"</f>
        <v>20008150317T0238</v>
      </c>
      <c r="O167">
        <v>1</v>
      </c>
      <c r="S167">
        <f t="shared" si="0"/>
        <v>8233666954.6199999</v>
      </c>
    </row>
    <row r="168" spans="1:19" x14ac:dyDescent="0.25">
      <c r="A168">
        <v>8003879954</v>
      </c>
      <c r="B168">
        <v>2</v>
      </c>
      <c r="C168">
        <v>15032017</v>
      </c>
      <c r="D168">
        <v>349</v>
      </c>
      <c r="E168" t="s">
        <v>35</v>
      </c>
      <c r="F168">
        <v>72</v>
      </c>
      <c r="G168" s="3">
        <v>212860075</v>
      </c>
      <c r="H168" s="1">
        <v>4523.21</v>
      </c>
      <c r="I168" s="1" t="s">
        <v>28</v>
      </c>
      <c r="J168" s="1">
        <v>1723908.62</v>
      </c>
      <c r="K168" t="s">
        <v>26</v>
      </c>
      <c r="L168">
        <v>170509</v>
      </c>
      <c r="M168" t="str">
        <f>"20008150317T0238"</f>
        <v>20008150317T0238</v>
      </c>
      <c r="O168">
        <v>1</v>
      </c>
      <c r="S168">
        <f t="shared" si="0"/>
        <v>8233671410.8299999</v>
      </c>
    </row>
    <row r="169" spans="1:19" x14ac:dyDescent="0.25">
      <c r="A169">
        <v>8003879954</v>
      </c>
      <c r="B169">
        <v>1</v>
      </c>
      <c r="C169">
        <v>15032017</v>
      </c>
      <c r="D169">
        <v>141</v>
      </c>
      <c r="E169" t="s">
        <v>36</v>
      </c>
      <c r="F169">
        <v>4397</v>
      </c>
      <c r="G169" s="3">
        <v>70344</v>
      </c>
      <c r="H169" s="1">
        <v>61.02</v>
      </c>
      <c r="I169" s="1" t="s">
        <v>26</v>
      </c>
      <c r="J169" s="1">
        <v>1728431.83</v>
      </c>
      <c r="K169" t="s">
        <v>26</v>
      </c>
      <c r="L169">
        <v>144051</v>
      </c>
      <c r="M169" t="str">
        <f>""</f>
        <v/>
      </c>
      <c r="O169">
        <v>1</v>
      </c>
      <c r="P169" t="str">
        <f>"Advance Cash Refund"</f>
        <v>Advance Cash Refund</v>
      </c>
      <c r="R169" t="str">
        <f>"DANNY TAN LEE KEONG"</f>
        <v>DANNY TAN LEE KEONG</v>
      </c>
      <c r="S169">
        <f t="shared" si="0"/>
        <v>8020859398.8500004</v>
      </c>
    </row>
    <row r="170" spans="1:19" x14ac:dyDescent="0.25">
      <c r="A170">
        <v>8003879954</v>
      </c>
      <c r="B170">
        <v>5</v>
      </c>
      <c r="C170">
        <v>14032017</v>
      </c>
      <c r="D170">
        <v>299</v>
      </c>
      <c r="E170" t="s">
        <v>30</v>
      </c>
      <c r="H170" s="1">
        <v>0.03</v>
      </c>
      <c r="I170" s="1" t="s">
        <v>28</v>
      </c>
      <c r="J170" s="1">
        <v>1728370.81</v>
      </c>
      <c r="K170" t="s">
        <v>26</v>
      </c>
      <c r="L170">
        <v>10130</v>
      </c>
      <c r="M170" t="str">
        <f>""</f>
        <v/>
      </c>
      <c r="O170">
        <v>1</v>
      </c>
      <c r="S170">
        <f t="shared" si="0"/>
        <v>8019650776.8400002</v>
      </c>
    </row>
    <row r="171" spans="1:19" x14ac:dyDescent="0.25">
      <c r="A171">
        <v>8003879954</v>
      </c>
      <c r="B171">
        <v>4</v>
      </c>
      <c r="C171">
        <v>14032017</v>
      </c>
      <c r="D171">
        <v>819</v>
      </c>
      <c r="E171" t="s">
        <v>32</v>
      </c>
      <c r="H171" s="1">
        <v>0.5</v>
      </c>
      <c r="I171" s="1" t="s">
        <v>28</v>
      </c>
      <c r="J171" s="1">
        <v>1728370.84</v>
      </c>
      <c r="K171" t="s">
        <v>26</v>
      </c>
      <c r="L171">
        <v>10130</v>
      </c>
      <c r="M171" t="str">
        <f>""</f>
        <v/>
      </c>
      <c r="O171">
        <v>1</v>
      </c>
      <c r="S171">
        <f t="shared" si="0"/>
        <v>8019651296.3400002</v>
      </c>
    </row>
    <row r="172" spans="1:19" x14ac:dyDescent="0.25">
      <c r="A172">
        <v>8003879954</v>
      </c>
      <c r="B172">
        <v>3</v>
      </c>
      <c r="C172">
        <v>14032017</v>
      </c>
      <c r="D172">
        <v>321</v>
      </c>
      <c r="E172" t="s">
        <v>37</v>
      </c>
      <c r="F172">
        <v>0</v>
      </c>
      <c r="G172" s="3">
        <v>687895</v>
      </c>
      <c r="H172" s="1">
        <v>24168</v>
      </c>
      <c r="I172" s="1" t="s">
        <v>28</v>
      </c>
      <c r="J172" s="1">
        <v>1728371.34</v>
      </c>
      <c r="K172" t="s">
        <v>26</v>
      </c>
      <c r="L172">
        <v>5943</v>
      </c>
      <c r="M172" t="str">
        <f>""</f>
        <v/>
      </c>
      <c r="O172">
        <v>1</v>
      </c>
      <c r="S172">
        <f t="shared" si="0"/>
        <v>8020358673.3400002</v>
      </c>
    </row>
    <row r="173" spans="1:19" x14ac:dyDescent="0.25">
      <c r="A173">
        <v>8003879954</v>
      </c>
      <c r="B173">
        <v>2</v>
      </c>
      <c r="C173">
        <v>14032017</v>
      </c>
      <c r="D173">
        <v>123</v>
      </c>
      <c r="E173" t="s">
        <v>38</v>
      </c>
      <c r="F173">
        <v>2007</v>
      </c>
      <c r="G173" s="3">
        <v>13847433</v>
      </c>
      <c r="H173" s="1">
        <v>2000</v>
      </c>
      <c r="I173" s="1" t="s">
        <v>26</v>
      </c>
      <c r="J173" s="1">
        <v>1752539.34</v>
      </c>
      <c r="K173" t="s">
        <v>26</v>
      </c>
      <c r="L173">
        <v>220520</v>
      </c>
      <c r="M173" t="str">
        <f>""</f>
        <v/>
      </c>
      <c r="O173">
        <v>1</v>
      </c>
      <c r="S173">
        <f t="shared" si="0"/>
        <v>8033736596.3400002</v>
      </c>
    </row>
    <row r="174" spans="1:19" x14ac:dyDescent="0.25">
      <c r="A174">
        <v>8003879954</v>
      </c>
      <c r="B174">
        <v>1</v>
      </c>
      <c r="C174">
        <v>14032017</v>
      </c>
      <c r="D174">
        <v>123</v>
      </c>
      <c r="E174" t="s">
        <v>38</v>
      </c>
      <c r="F174">
        <v>2007</v>
      </c>
      <c r="G174" s="3">
        <v>13847333</v>
      </c>
      <c r="H174" s="1">
        <v>2000</v>
      </c>
      <c r="I174" s="1" t="s">
        <v>26</v>
      </c>
      <c r="J174" s="1">
        <v>1750539.34</v>
      </c>
      <c r="K174" t="s">
        <v>26</v>
      </c>
      <c r="L174">
        <v>190930</v>
      </c>
      <c r="M174" t="str">
        <f>""</f>
        <v/>
      </c>
      <c r="O174">
        <v>1</v>
      </c>
      <c r="S174">
        <f t="shared" si="0"/>
        <v>8033704905.3400002</v>
      </c>
    </row>
    <row r="175" spans="1:19" x14ac:dyDescent="0.25">
      <c r="A175">
        <v>8003879954</v>
      </c>
      <c r="B175">
        <v>4</v>
      </c>
      <c r="C175">
        <v>13032017</v>
      </c>
      <c r="D175">
        <v>299</v>
      </c>
      <c r="E175" t="s">
        <v>30</v>
      </c>
      <c r="H175" s="1">
        <v>0.03</v>
      </c>
      <c r="I175" s="1" t="s">
        <v>28</v>
      </c>
      <c r="J175" s="1">
        <v>1748539.34</v>
      </c>
      <c r="K175" t="s">
        <v>26</v>
      </c>
      <c r="L175">
        <v>10038</v>
      </c>
      <c r="M175" t="str">
        <f>""</f>
        <v/>
      </c>
      <c r="O175">
        <v>1</v>
      </c>
      <c r="S175">
        <f t="shared" si="0"/>
        <v>8018670852.3699999</v>
      </c>
    </row>
    <row r="176" spans="1:19" x14ac:dyDescent="0.25">
      <c r="A176">
        <v>8003879954</v>
      </c>
      <c r="B176">
        <v>3</v>
      </c>
      <c r="C176">
        <v>13032017</v>
      </c>
      <c r="D176">
        <v>819</v>
      </c>
      <c r="E176" t="s">
        <v>32</v>
      </c>
      <c r="H176" s="1">
        <v>0.5</v>
      </c>
      <c r="I176" s="1" t="s">
        <v>28</v>
      </c>
      <c r="J176" s="1">
        <v>1748539.37</v>
      </c>
      <c r="K176" t="s">
        <v>26</v>
      </c>
      <c r="L176">
        <v>10038</v>
      </c>
      <c r="M176" t="str">
        <f>""</f>
        <v/>
      </c>
      <c r="O176">
        <v>1</v>
      </c>
      <c r="S176">
        <f t="shared" si="0"/>
        <v>8018671371.8699999</v>
      </c>
    </row>
    <row r="177" spans="1:19" x14ac:dyDescent="0.25">
      <c r="A177">
        <v>8003879954</v>
      </c>
      <c r="B177">
        <v>2</v>
      </c>
      <c r="C177">
        <v>13032017</v>
      </c>
      <c r="D177">
        <v>323</v>
      </c>
      <c r="E177" t="s">
        <v>33</v>
      </c>
      <c r="F177">
        <v>0</v>
      </c>
      <c r="G177" s="3">
        <v>687882</v>
      </c>
      <c r="H177" s="2">
        <v>21052</v>
      </c>
      <c r="I177" s="1" t="s">
        <v>28</v>
      </c>
      <c r="J177" s="1">
        <v>1748539.87</v>
      </c>
      <c r="K177" t="s">
        <v>26</v>
      </c>
      <c r="L177">
        <v>5937</v>
      </c>
      <c r="M177" t="str">
        <f>""</f>
        <v/>
      </c>
      <c r="N177" t="s">
        <v>45</v>
      </c>
      <c r="O177">
        <v>1</v>
      </c>
      <c r="S177">
        <f t="shared" si="0"/>
        <v>8019375707.8699999</v>
      </c>
    </row>
    <row r="178" spans="1:19" x14ac:dyDescent="0.25">
      <c r="A178">
        <v>8003879954</v>
      </c>
      <c r="B178">
        <v>1</v>
      </c>
      <c r="C178">
        <v>13032017</v>
      </c>
      <c r="D178">
        <v>121</v>
      </c>
      <c r="E178" t="s">
        <v>25</v>
      </c>
      <c r="F178">
        <v>2007</v>
      </c>
      <c r="G178" s="3">
        <v>951035</v>
      </c>
      <c r="H178" s="1">
        <v>10428</v>
      </c>
      <c r="I178" s="1" t="s">
        <v>26</v>
      </c>
      <c r="J178" s="1">
        <v>1769591.87</v>
      </c>
      <c r="K178" t="s">
        <v>26</v>
      </c>
      <c r="L178">
        <v>191350</v>
      </c>
      <c r="M178" t="str">
        <f>""</f>
        <v/>
      </c>
      <c r="O178">
        <v>1</v>
      </c>
      <c r="S178">
        <f t="shared" si="0"/>
        <v>8019836505.8699999</v>
      </c>
    </row>
    <row r="179" spans="1:19" x14ac:dyDescent="0.25">
      <c r="A179">
        <v>8003879954</v>
      </c>
      <c r="B179">
        <v>12</v>
      </c>
      <c r="C179">
        <v>10032017</v>
      </c>
      <c r="D179">
        <v>299</v>
      </c>
      <c r="E179" t="s">
        <v>30</v>
      </c>
      <c r="H179" s="1">
        <v>0.03</v>
      </c>
      <c r="I179" s="1" t="s">
        <v>28</v>
      </c>
      <c r="J179" s="1">
        <v>1759163.87</v>
      </c>
      <c r="K179" t="s">
        <v>26</v>
      </c>
      <c r="L179">
        <v>10222</v>
      </c>
      <c r="M179" t="str">
        <f>""</f>
        <v/>
      </c>
      <c r="O179">
        <v>1</v>
      </c>
      <c r="S179">
        <f t="shared" si="0"/>
        <v>8015681668.8999996</v>
      </c>
    </row>
    <row r="180" spans="1:19" x14ac:dyDescent="0.25">
      <c r="A180">
        <v>8003879954</v>
      </c>
      <c r="B180">
        <v>11</v>
      </c>
      <c r="C180">
        <v>10032017</v>
      </c>
      <c r="D180">
        <v>819</v>
      </c>
      <c r="E180" t="s">
        <v>32</v>
      </c>
      <c r="H180" s="1">
        <v>0.5</v>
      </c>
      <c r="I180" s="1" t="s">
        <v>28</v>
      </c>
      <c r="J180" s="1">
        <v>1759163.9</v>
      </c>
      <c r="K180" t="s">
        <v>26</v>
      </c>
      <c r="L180">
        <v>10222</v>
      </c>
      <c r="M180" t="str">
        <f>""</f>
        <v/>
      </c>
      <c r="O180">
        <v>1</v>
      </c>
      <c r="S180">
        <f t="shared" si="0"/>
        <v>8015682188.3999996</v>
      </c>
    </row>
    <row r="181" spans="1:19" x14ac:dyDescent="0.25">
      <c r="A181">
        <v>8003879954</v>
      </c>
      <c r="B181">
        <v>10</v>
      </c>
      <c r="C181">
        <v>10032017</v>
      </c>
      <c r="D181">
        <v>299</v>
      </c>
      <c r="E181" t="s">
        <v>30</v>
      </c>
      <c r="H181" s="1">
        <v>0.09</v>
      </c>
      <c r="I181" s="1" t="s">
        <v>28</v>
      </c>
      <c r="J181" s="1">
        <v>1759164.4</v>
      </c>
      <c r="K181" t="s">
        <v>26</v>
      </c>
      <c r="L181">
        <v>10222</v>
      </c>
      <c r="M181" t="str">
        <f>""</f>
        <v/>
      </c>
      <c r="O181">
        <v>1</v>
      </c>
      <c r="S181">
        <f t="shared" si="0"/>
        <v>8015681667.4899998</v>
      </c>
    </row>
    <row r="182" spans="1:19" x14ac:dyDescent="0.25">
      <c r="A182">
        <v>8003879954</v>
      </c>
      <c r="B182">
        <v>9</v>
      </c>
      <c r="C182">
        <v>10032017</v>
      </c>
      <c r="D182">
        <v>819</v>
      </c>
      <c r="E182" t="s">
        <v>32</v>
      </c>
      <c r="H182" s="1">
        <v>1.5</v>
      </c>
      <c r="I182" s="1" t="s">
        <v>28</v>
      </c>
      <c r="J182" s="1">
        <v>1759164.49</v>
      </c>
      <c r="K182" t="s">
        <v>26</v>
      </c>
      <c r="L182">
        <v>10222</v>
      </c>
      <c r="M182" t="str">
        <f>""</f>
        <v/>
      </c>
      <c r="O182">
        <v>1</v>
      </c>
      <c r="S182">
        <f t="shared" si="0"/>
        <v>8015682187.9899998</v>
      </c>
    </row>
    <row r="183" spans="1:19" x14ac:dyDescent="0.25">
      <c r="A183">
        <v>8003879954</v>
      </c>
      <c r="B183">
        <v>8</v>
      </c>
      <c r="C183">
        <v>10032017</v>
      </c>
      <c r="D183">
        <v>323</v>
      </c>
      <c r="E183" t="s">
        <v>33</v>
      </c>
      <c r="F183">
        <v>0</v>
      </c>
      <c r="G183" s="3">
        <v>687894</v>
      </c>
      <c r="H183" s="1">
        <v>15989.8</v>
      </c>
      <c r="I183" s="1" t="s">
        <v>28</v>
      </c>
      <c r="J183" s="1">
        <v>1759165.99</v>
      </c>
      <c r="K183" t="s">
        <v>26</v>
      </c>
      <c r="L183">
        <v>10057</v>
      </c>
      <c r="M183" t="str">
        <f>""</f>
        <v/>
      </c>
      <c r="O183">
        <v>1</v>
      </c>
      <c r="S183">
        <f t="shared" si="0"/>
        <v>8016385409.79</v>
      </c>
    </row>
    <row r="184" spans="1:19" x14ac:dyDescent="0.25">
      <c r="A184">
        <v>8003879954</v>
      </c>
      <c r="B184">
        <v>7</v>
      </c>
      <c r="C184">
        <v>10032017</v>
      </c>
      <c r="D184">
        <v>323</v>
      </c>
      <c r="E184" t="s">
        <v>33</v>
      </c>
      <c r="F184">
        <v>0</v>
      </c>
      <c r="G184" s="3">
        <v>687891</v>
      </c>
      <c r="H184" s="1">
        <v>11131.76</v>
      </c>
      <c r="I184" s="1" t="s">
        <v>28</v>
      </c>
      <c r="J184" s="1">
        <v>1775155.79</v>
      </c>
      <c r="K184" t="s">
        <v>26</v>
      </c>
      <c r="L184">
        <v>10057</v>
      </c>
      <c r="M184" t="str">
        <f>""</f>
        <v/>
      </c>
      <c r="O184">
        <v>1</v>
      </c>
      <c r="S184">
        <f t="shared" si="0"/>
        <v>8016396537.5500002</v>
      </c>
    </row>
    <row r="185" spans="1:19" x14ac:dyDescent="0.25">
      <c r="A185">
        <v>8003879954</v>
      </c>
      <c r="B185">
        <v>6</v>
      </c>
      <c r="C185">
        <v>10032017</v>
      </c>
      <c r="D185">
        <v>321</v>
      </c>
      <c r="E185" t="s">
        <v>37</v>
      </c>
      <c r="F185">
        <v>0</v>
      </c>
      <c r="G185" s="3">
        <v>687884</v>
      </c>
      <c r="H185" s="2">
        <v>3987.65</v>
      </c>
      <c r="I185" s="1" t="s">
        <v>28</v>
      </c>
      <c r="J185" s="1">
        <v>1786287.55</v>
      </c>
      <c r="K185" t="s">
        <v>26</v>
      </c>
      <c r="L185">
        <v>10056</v>
      </c>
      <c r="M185" t="str">
        <f>""</f>
        <v/>
      </c>
      <c r="N185" t="s">
        <v>45</v>
      </c>
      <c r="O185">
        <v>1</v>
      </c>
      <c r="S185">
        <f t="shared" si="0"/>
        <v>8016400514.1999998</v>
      </c>
    </row>
    <row r="186" spans="1:19" x14ac:dyDescent="0.25">
      <c r="A186">
        <v>8003879954</v>
      </c>
      <c r="B186">
        <v>5</v>
      </c>
      <c r="C186">
        <v>10032017</v>
      </c>
      <c r="D186">
        <v>323</v>
      </c>
      <c r="E186" t="s">
        <v>33</v>
      </c>
      <c r="F186">
        <v>0</v>
      </c>
      <c r="G186" s="3">
        <v>687883</v>
      </c>
      <c r="H186" s="2">
        <v>1531.3</v>
      </c>
      <c r="I186" s="1" t="s">
        <v>28</v>
      </c>
      <c r="J186" s="1">
        <v>1790275.2</v>
      </c>
      <c r="K186" t="s">
        <v>26</v>
      </c>
      <c r="L186">
        <v>10056</v>
      </c>
      <c r="M186" t="str">
        <f>""</f>
        <v/>
      </c>
      <c r="N186" t="s">
        <v>45</v>
      </c>
      <c r="O186">
        <v>1</v>
      </c>
      <c r="S186">
        <f t="shared" ref="S186:S217" si="1">SUM(A186:R186)</f>
        <v>8016402045.5</v>
      </c>
    </row>
    <row r="187" spans="1:19" x14ac:dyDescent="0.25">
      <c r="A187">
        <v>8003879954</v>
      </c>
      <c r="B187">
        <v>4</v>
      </c>
      <c r="C187">
        <v>10032017</v>
      </c>
      <c r="D187">
        <v>299</v>
      </c>
      <c r="E187" t="s">
        <v>44</v>
      </c>
      <c r="F187">
        <v>141</v>
      </c>
      <c r="G187" s="3">
        <v>914436258</v>
      </c>
      <c r="H187" s="1">
        <v>0.36</v>
      </c>
      <c r="I187" s="1" t="s">
        <v>28</v>
      </c>
      <c r="J187" s="1">
        <v>1791806.5</v>
      </c>
      <c r="K187" t="s">
        <v>26</v>
      </c>
      <c r="L187">
        <v>110205</v>
      </c>
      <c r="M187" t="str">
        <f>"20015100317T0050"</f>
        <v>20015100317T0050</v>
      </c>
      <c r="O187">
        <v>1</v>
      </c>
      <c r="S187">
        <f t="shared" si="1"/>
        <v>8930250685.8600006</v>
      </c>
    </row>
    <row r="188" spans="1:19" x14ac:dyDescent="0.25">
      <c r="A188">
        <v>8003879954</v>
      </c>
      <c r="B188">
        <v>3</v>
      </c>
      <c r="C188">
        <v>10032017</v>
      </c>
      <c r="D188">
        <v>415</v>
      </c>
      <c r="E188" t="s">
        <v>34</v>
      </c>
      <c r="F188">
        <v>141</v>
      </c>
      <c r="G188" s="3">
        <v>914436258</v>
      </c>
      <c r="H188" s="1">
        <v>6</v>
      </c>
      <c r="I188" s="1" t="s">
        <v>28</v>
      </c>
      <c r="J188" s="1">
        <v>1791806.86</v>
      </c>
      <c r="K188" t="s">
        <v>26</v>
      </c>
      <c r="L188">
        <v>110205</v>
      </c>
      <c r="M188" t="str">
        <f>"20015100317T0050"</f>
        <v>20015100317T0050</v>
      </c>
      <c r="O188">
        <v>1</v>
      </c>
      <c r="S188">
        <f t="shared" si="1"/>
        <v>8930250806.8600006</v>
      </c>
    </row>
    <row r="189" spans="1:19" x14ac:dyDescent="0.25">
      <c r="A189">
        <v>8003879954</v>
      </c>
      <c r="B189">
        <v>2</v>
      </c>
      <c r="C189">
        <v>10032017</v>
      </c>
      <c r="D189">
        <v>349</v>
      </c>
      <c r="E189" t="s">
        <v>35</v>
      </c>
      <c r="F189">
        <v>141</v>
      </c>
      <c r="G189" s="3">
        <v>914436258</v>
      </c>
      <c r="H189" s="1">
        <v>4274.13</v>
      </c>
      <c r="I189" s="1" t="s">
        <v>28</v>
      </c>
      <c r="J189" s="1">
        <v>1791812.86</v>
      </c>
      <c r="K189" t="s">
        <v>26</v>
      </c>
      <c r="L189">
        <v>110205</v>
      </c>
      <c r="M189" t="str">
        <f>"20015100317T0050"</f>
        <v>20015100317T0050</v>
      </c>
      <c r="O189">
        <v>1</v>
      </c>
      <c r="S189">
        <f t="shared" si="1"/>
        <v>8930255013.9899998</v>
      </c>
    </row>
    <row r="190" spans="1:19" x14ac:dyDescent="0.25">
      <c r="A190">
        <v>8003879954</v>
      </c>
      <c r="B190">
        <v>1</v>
      </c>
      <c r="C190">
        <v>10032017</v>
      </c>
      <c r="D190">
        <v>174</v>
      </c>
      <c r="E190" t="s">
        <v>39</v>
      </c>
      <c r="F190">
        <v>2001</v>
      </c>
      <c r="G190" s="3">
        <v>99290200</v>
      </c>
      <c r="H190" s="1">
        <v>2000</v>
      </c>
      <c r="I190" s="1" t="s">
        <v>26</v>
      </c>
      <c r="J190" s="1">
        <v>1796086.99</v>
      </c>
      <c r="K190" t="s">
        <v>26</v>
      </c>
      <c r="L190">
        <v>100953</v>
      </c>
      <c r="M190" t="str">
        <f>"ITE HO CHI MINH7-9Se"</f>
        <v>ITE HO CHI MINH7-9Se</v>
      </c>
      <c r="O190">
        <v>1</v>
      </c>
      <c r="P190" t="str">
        <f>"ITE HO CHI MINH7-9Se"</f>
        <v>ITE HO CHI MINH7-9Se</v>
      </c>
      <c r="Q190" t="str">
        <f>"Holiday Tours PG"</f>
        <v>Holiday Tours PG</v>
      </c>
      <c r="R190" t="str">
        <f>"HOLIDAY TOURS &amp; TRAV"</f>
        <v>HOLIDAY TOURS &amp; TRAV</v>
      </c>
      <c r="S190">
        <f t="shared" si="1"/>
        <v>8115103387.9899998</v>
      </c>
    </row>
    <row r="191" spans="1:19" x14ac:dyDescent="0.25">
      <c r="A191">
        <v>8003879954</v>
      </c>
      <c r="B191">
        <v>1</v>
      </c>
      <c r="C191">
        <v>9032017</v>
      </c>
      <c r="D191">
        <v>345</v>
      </c>
      <c r="E191" t="s">
        <v>27</v>
      </c>
      <c r="F191">
        <v>9938</v>
      </c>
      <c r="G191" s="3">
        <v>14436474</v>
      </c>
      <c r="H191" s="1">
        <v>900</v>
      </c>
      <c r="I191" s="1" t="s">
        <v>28</v>
      </c>
      <c r="J191" s="1">
        <v>1794086.99</v>
      </c>
      <c r="K191" t="s">
        <v>26</v>
      </c>
      <c r="L191">
        <v>172300</v>
      </c>
      <c r="M191" t="str">
        <f>"WELCOMING RECEPTION SIM KOK JIUN"</f>
        <v>WELCOMING RECEPTION SIM KOK JIUN</v>
      </c>
      <c r="O191">
        <v>1</v>
      </c>
      <c r="P191" t="str">
        <f>"PGTEFT2145"</f>
        <v>PGTEFT2145</v>
      </c>
      <c r="Q191" t="str">
        <f>"ADVANCE"</f>
        <v>ADVANCE</v>
      </c>
      <c r="S191">
        <f t="shared" si="1"/>
        <v>8029326016.9899998</v>
      </c>
    </row>
    <row r="192" spans="1:19" x14ac:dyDescent="0.25">
      <c r="A192">
        <v>8003879954</v>
      </c>
      <c r="B192">
        <v>8</v>
      </c>
      <c r="C192">
        <v>8032017</v>
      </c>
      <c r="D192">
        <v>299</v>
      </c>
      <c r="E192" t="s">
        <v>30</v>
      </c>
      <c r="H192" s="1">
        <v>0.06</v>
      </c>
      <c r="I192" s="1" t="s">
        <v>28</v>
      </c>
      <c r="J192" s="1">
        <v>1794986.99</v>
      </c>
      <c r="K192" t="s">
        <v>26</v>
      </c>
      <c r="L192">
        <v>10454</v>
      </c>
      <c r="M192" t="str">
        <f>""</f>
        <v/>
      </c>
      <c r="O192">
        <v>1</v>
      </c>
      <c r="S192">
        <f t="shared" si="1"/>
        <v>8013717720.0500002</v>
      </c>
    </row>
    <row r="193" spans="1:19" x14ac:dyDescent="0.25">
      <c r="A193">
        <v>8003879954</v>
      </c>
      <c r="B193">
        <v>7</v>
      </c>
      <c r="C193">
        <v>8032017</v>
      </c>
      <c r="D193">
        <v>819</v>
      </c>
      <c r="E193" t="s">
        <v>32</v>
      </c>
      <c r="H193" s="1">
        <v>1</v>
      </c>
      <c r="I193" s="1" t="s">
        <v>28</v>
      </c>
      <c r="J193" s="1">
        <v>1794987.05</v>
      </c>
      <c r="K193" t="s">
        <v>26</v>
      </c>
      <c r="L193">
        <v>10454</v>
      </c>
      <c r="M193" t="str">
        <f>""</f>
        <v/>
      </c>
      <c r="O193">
        <v>1</v>
      </c>
      <c r="S193">
        <f t="shared" si="1"/>
        <v>8013718240.0500002</v>
      </c>
    </row>
    <row r="194" spans="1:19" x14ac:dyDescent="0.25">
      <c r="A194">
        <v>8003879954</v>
      </c>
      <c r="B194">
        <v>6</v>
      </c>
      <c r="C194">
        <v>8032017</v>
      </c>
      <c r="D194">
        <v>323</v>
      </c>
      <c r="E194" t="s">
        <v>33</v>
      </c>
      <c r="F194">
        <v>0</v>
      </c>
      <c r="G194" s="3">
        <v>687887</v>
      </c>
      <c r="H194" s="1">
        <v>424000</v>
      </c>
      <c r="I194" s="1" t="s">
        <v>28</v>
      </c>
      <c r="J194" s="1">
        <v>1794988.05</v>
      </c>
      <c r="K194" t="s">
        <v>26</v>
      </c>
      <c r="L194">
        <v>10332</v>
      </c>
      <c r="M194" t="str">
        <f>""</f>
        <v/>
      </c>
      <c r="O194">
        <v>1</v>
      </c>
      <c r="S194">
        <f t="shared" si="1"/>
        <v>8014829508.0500002</v>
      </c>
    </row>
    <row r="195" spans="1:19" x14ac:dyDescent="0.25">
      <c r="A195">
        <v>8003879954</v>
      </c>
      <c r="B195">
        <v>5</v>
      </c>
      <c r="C195">
        <v>8032017</v>
      </c>
      <c r="D195">
        <v>323</v>
      </c>
      <c r="E195" t="s">
        <v>33</v>
      </c>
      <c r="F195">
        <v>0</v>
      </c>
      <c r="G195" s="3">
        <v>687885</v>
      </c>
      <c r="H195" s="1">
        <v>10667.84</v>
      </c>
      <c r="I195" s="1" t="s">
        <v>28</v>
      </c>
      <c r="J195" s="1">
        <v>2218988.0499999998</v>
      </c>
      <c r="K195" t="s">
        <v>26</v>
      </c>
      <c r="L195">
        <v>10332</v>
      </c>
      <c r="M195" t="str">
        <f>""</f>
        <v/>
      </c>
      <c r="O195">
        <v>1</v>
      </c>
      <c r="S195">
        <f t="shared" si="1"/>
        <v>8014840172.8900003</v>
      </c>
    </row>
    <row r="196" spans="1:19" x14ac:dyDescent="0.25">
      <c r="A196">
        <v>8003879954</v>
      </c>
      <c r="B196">
        <v>4</v>
      </c>
      <c r="C196">
        <v>8032017</v>
      </c>
      <c r="D196">
        <v>393</v>
      </c>
      <c r="E196" t="s">
        <v>40</v>
      </c>
      <c r="F196">
        <v>2007</v>
      </c>
      <c r="G196" s="3">
        <v>72874322</v>
      </c>
      <c r="I196" s="1" t="s">
        <v>28</v>
      </c>
      <c r="J196" s="1">
        <v>2229655.89</v>
      </c>
      <c r="K196" t="s">
        <v>26</v>
      </c>
      <c r="L196">
        <v>152820</v>
      </c>
      <c r="M196" t="str">
        <f>"C:728743 R:026 DRAWER'S SIGNATURE REQUIR"</f>
        <v>C:728743 R:026 DRAWER'S SIGNATURE REQUIR</v>
      </c>
      <c r="O196">
        <v>1</v>
      </c>
      <c r="S196">
        <f t="shared" si="1"/>
        <v>8087171173.8900003</v>
      </c>
    </row>
    <row r="197" spans="1:19" x14ac:dyDescent="0.25">
      <c r="A197">
        <v>8003879954</v>
      </c>
      <c r="B197">
        <v>3</v>
      </c>
      <c r="C197">
        <v>8032017</v>
      </c>
      <c r="D197">
        <v>299</v>
      </c>
      <c r="E197" t="s">
        <v>30</v>
      </c>
      <c r="F197">
        <v>2007</v>
      </c>
      <c r="G197" s="3">
        <v>72874322</v>
      </c>
      <c r="H197" s="1">
        <v>0.3</v>
      </c>
      <c r="I197" s="1" t="s">
        <v>28</v>
      </c>
      <c r="J197" s="1">
        <v>2236655.89</v>
      </c>
      <c r="K197" t="s">
        <v>26</v>
      </c>
      <c r="L197">
        <v>152820</v>
      </c>
      <c r="M197" t="str">
        <f>"C:728743 R:026 DRAWER'S SIGNATURE REQUIR"</f>
        <v>C:728743 R:026 DRAWER'S SIGNATURE REQUIR</v>
      </c>
      <c r="O197">
        <v>1</v>
      </c>
      <c r="S197">
        <f t="shared" si="1"/>
        <v>8087178079.1900005</v>
      </c>
    </row>
    <row r="198" spans="1:19" x14ac:dyDescent="0.25">
      <c r="A198">
        <v>8003879954</v>
      </c>
      <c r="B198">
        <v>2</v>
      </c>
      <c r="C198">
        <v>8032017</v>
      </c>
      <c r="D198">
        <v>489</v>
      </c>
      <c r="E198" t="s">
        <v>41</v>
      </c>
      <c r="F198">
        <v>2007</v>
      </c>
      <c r="G198" s="3">
        <v>72874322</v>
      </c>
      <c r="H198" s="1">
        <v>5</v>
      </c>
      <c r="I198" s="1" t="s">
        <v>28</v>
      </c>
      <c r="J198" s="1">
        <v>2236656.19</v>
      </c>
      <c r="K198" t="s">
        <v>26</v>
      </c>
      <c r="L198">
        <v>152820</v>
      </c>
      <c r="M198" t="str">
        <f>"C:728743 R:026 DRAWER'S SIGNATURE REQUIR"</f>
        <v>C:728743 R:026 DRAWER'S SIGNATURE REQUIR</v>
      </c>
      <c r="O198">
        <v>1</v>
      </c>
      <c r="S198">
        <f t="shared" si="1"/>
        <v>8087178273.1899996</v>
      </c>
    </row>
    <row r="199" spans="1:19" x14ac:dyDescent="0.25">
      <c r="A199">
        <v>8003879954</v>
      </c>
      <c r="B199">
        <v>1</v>
      </c>
      <c r="C199">
        <v>8032017</v>
      </c>
      <c r="D199">
        <v>174</v>
      </c>
      <c r="E199" t="s">
        <v>39</v>
      </c>
      <c r="F199">
        <v>2001</v>
      </c>
      <c r="G199" s="3">
        <v>99290200</v>
      </c>
      <c r="H199" s="1">
        <v>10428</v>
      </c>
      <c r="I199" s="1" t="s">
        <v>26</v>
      </c>
      <c r="J199" s="1">
        <v>2236661.19</v>
      </c>
      <c r="K199" t="s">
        <v>26</v>
      </c>
      <c r="L199">
        <v>101158</v>
      </c>
      <c r="M199" t="str">
        <f>"OPV 1703014"</f>
        <v>OPV 1703014</v>
      </c>
      <c r="O199">
        <v>1</v>
      </c>
      <c r="P199" t="str">
        <f>"OPV 1703014"</f>
        <v>OPV 1703014</v>
      </c>
      <c r="Q199" t="str">
        <f>"INV0036/2017/OCY/Mic"</f>
        <v>INV0036/2017/OCY/Mic</v>
      </c>
      <c r="R199" t="str">
        <f>"LOH GUAN LYE &amp; SONS"</f>
        <v>LOH GUAN LYE &amp; SONS</v>
      </c>
      <c r="S199">
        <f t="shared" si="1"/>
        <v>8113552595.1899996</v>
      </c>
    </row>
    <row r="200" spans="1:19" x14ac:dyDescent="0.25">
      <c r="A200">
        <v>8003879954</v>
      </c>
      <c r="B200">
        <v>1</v>
      </c>
      <c r="C200">
        <v>7032017</v>
      </c>
      <c r="D200">
        <v>123</v>
      </c>
      <c r="E200" t="s">
        <v>38</v>
      </c>
      <c r="F200">
        <v>2007</v>
      </c>
      <c r="G200" s="3">
        <v>72874322</v>
      </c>
      <c r="I200" s="1" t="s">
        <v>26</v>
      </c>
      <c r="J200" s="1">
        <v>2226233.19</v>
      </c>
      <c r="K200" t="s">
        <v>26</v>
      </c>
      <c r="L200">
        <v>191227</v>
      </c>
      <c r="M200" t="str">
        <f>""</f>
        <v/>
      </c>
      <c r="O200">
        <v>1</v>
      </c>
      <c r="S200">
        <f t="shared" si="1"/>
        <v>8086205885.1899996</v>
      </c>
    </row>
    <row r="201" spans="1:19" x14ac:dyDescent="0.25">
      <c r="A201">
        <v>8003879954</v>
      </c>
      <c r="B201">
        <v>5</v>
      </c>
      <c r="C201">
        <v>6032017</v>
      </c>
      <c r="D201">
        <v>299</v>
      </c>
      <c r="E201" t="s">
        <v>30</v>
      </c>
      <c r="H201" s="1">
        <v>0.03</v>
      </c>
      <c r="I201" s="1" t="s">
        <v>28</v>
      </c>
      <c r="J201" s="1">
        <v>2219233.19</v>
      </c>
      <c r="K201" t="s">
        <v>26</v>
      </c>
      <c r="L201">
        <v>10420</v>
      </c>
      <c r="M201" t="str">
        <f>""</f>
        <v/>
      </c>
      <c r="O201">
        <v>1</v>
      </c>
      <c r="S201">
        <f t="shared" si="1"/>
        <v>8012141929.2199993</v>
      </c>
    </row>
    <row r="202" spans="1:19" x14ac:dyDescent="0.25">
      <c r="A202">
        <v>8003879954</v>
      </c>
      <c r="B202">
        <v>4</v>
      </c>
      <c r="C202">
        <v>6032017</v>
      </c>
      <c r="D202">
        <v>819</v>
      </c>
      <c r="E202" t="s">
        <v>32</v>
      </c>
      <c r="H202" s="1">
        <v>0.5</v>
      </c>
      <c r="I202" s="1" t="s">
        <v>28</v>
      </c>
      <c r="J202" s="1">
        <v>2219233.2200000002</v>
      </c>
      <c r="K202" t="s">
        <v>26</v>
      </c>
      <c r="L202">
        <v>10420</v>
      </c>
      <c r="M202" t="str">
        <f>""</f>
        <v/>
      </c>
      <c r="O202">
        <v>1</v>
      </c>
      <c r="S202">
        <f t="shared" si="1"/>
        <v>8012142448.7200003</v>
      </c>
    </row>
    <row r="203" spans="1:19" x14ac:dyDescent="0.25">
      <c r="A203">
        <v>8003879954</v>
      </c>
      <c r="B203">
        <v>3</v>
      </c>
      <c r="C203">
        <v>6032017</v>
      </c>
      <c r="D203">
        <v>323</v>
      </c>
      <c r="E203" t="s">
        <v>33</v>
      </c>
      <c r="F203">
        <v>0</v>
      </c>
      <c r="G203" s="3">
        <v>687886</v>
      </c>
      <c r="H203" s="1">
        <v>170</v>
      </c>
      <c r="I203" s="1" t="s">
        <v>28</v>
      </c>
      <c r="J203" s="1">
        <v>2219233.7200000002</v>
      </c>
      <c r="K203" t="s">
        <v>26</v>
      </c>
      <c r="L203">
        <v>10148</v>
      </c>
      <c r="M203" t="str">
        <f>""</f>
        <v/>
      </c>
      <c r="O203">
        <v>1</v>
      </c>
      <c r="S203">
        <f t="shared" si="1"/>
        <v>8012829735.7200003</v>
      </c>
    </row>
    <row r="204" spans="1:19" x14ac:dyDescent="0.25">
      <c r="A204">
        <v>8003879954</v>
      </c>
      <c r="B204">
        <v>2</v>
      </c>
      <c r="C204">
        <v>6032017</v>
      </c>
      <c r="D204">
        <v>998</v>
      </c>
      <c r="E204" t="s">
        <v>42</v>
      </c>
      <c r="H204" s="1">
        <v>1500000</v>
      </c>
      <c r="I204" s="1" t="s">
        <v>26</v>
      </c>
      <c r="J204" s="1">
        <v>2219403.7200000002</v>
      </c>
      <c r="K204" t="s">
        <v>26</v>
      </c>
      <c r="L204">
        <v>91302</v>
      </c>
      <c r="M204" t="str">
        <f>"/ROC/024100P0898932 BENDAHARI NEGERI PUL"</f>
        <v>/ROC/024100P0898932 BENDAHARI NEGERI PUL</v>
      </c>
      <c r="O204">
        <v>1</v>
      </c>
      <c r="P204" t="str">
        <f>"024100P0898932"</f>
        <v>024100P0898932</v>
      </c>
      <c r="Q204" t="str">
        <f>"Outward RTGS"</f>
        <v>Outward RTGS</v>
      </c>
      <c r="R204" t="str">
        <f>"BENDAHARI NEGERI PUL"</f>
        <v>BENDAHARI NEGERI PUL</v>
      </c>
      <c r="S204">
        <f t="shared" si="1"/>
        <v>8013723677.7200003</v>
      </c>
    </row>
    <row r="205" spans="1:19" x14ac:dyDescent="0.25">
      <c r="A205">
        <v>8003879954</v>
      </c>
      <c r="B205">
        <v>1</v>
      </c>
      <c r="C205">
        <v>6032017</v>
      </c>
      <c r="D205">
        <v>998</v>
      </c>
      <c r="E205" t="s">
        <v>42</v>
      </c>
      <c r="H205" s="1">
        <v>570000</v>
      </c>
      <c r="I205" s="1" t="s">
        <v>26</v>
      </c>
      <c r="J205" s="1">
        <v>719403.72</v>
      </c>
      <c r="K205" t="s">
        <v>26</v>
      </c>
      <c r="L205">
        <v>91254</v>
      </c>
      <c r="M205" t="str">
        <f>"/ROC/024100P0898933 BENDAHARI NEGERI PUL"</f>
        <v>/ROC/024100P0898933 BENDAHARI NEGERI PUL</v>
      </c>
      <c r="O205">
        <v>1</v>
      </c>
      <c r="P205" t="str">
        <f>"024100P0898933"</f>
        <v>024100P0898933</v>
      </c>
      <c r="Q205" t="str">
        <f>"Outward RTGS"</f>
        <v>Outward RTGS</v>
      </c>
      <c r="R205" t="str">
        <f>"BENDAHARI NEGERI PUL"</f>
        <v>BENDAHARI NEGERI PUL</v>
      </c>
      <c r="S205">
        <f t="shared" si="1"/>
        <v>8011293628.7200003</v>
      </c>
    </row>
    <row r="206" spans="1:19" x14ac:dyDescent="0.25">
      <c r="A206">
        <v>8003879954</v>
      </c>
      <c r="B206">
        <v>51</v>
      </c>
      <c r="C206">
        <v>3032017</v>
      </c>
      <c r="D206">
        <v>345</v>
      </c>
      <c r="E206" t="s">
        <v>27</v>
      </c>
      <c r="F206">
        <v>9938</v>
      </c>
      <c r="G206" s="3">
        <v>14235736</v>
      </c>
      <c r="H206" s="1">
        <v>2114.0100000000002</v>
      </c>
      <c r="I206" s="1" t="s">
        <v>28</v>
      </c>
      <c r="J206" s="1">
        <v>149403.72</v>
      </c>
      <c r="K206" t="s">
        <v>26</v>
      </c>
      <c r="L206">
        <v>182852</v>
      </c>
      <c r="M206" t="str">
        <f>"TITF YOON PAULINE"</f>
        <v>TITF YOON PAULINE</v>
      </c>
      <c r="O206">
        <v>1</v>
      </c>
      <c r="P206" t="str">
        <f>"PGTEFT2143"</f>
        <v>PGTEFT2143</v>
      </c>
      <c r="Q206" t="str">
        <f>"CLAIMS"</f>
        <v>CLAIMS</v>
      </c>
      <c r="S206">
        <f t="shared" si="1"/>
        <v>8021492411.7300005</v>
      </c>
    </row>
    <row r="207" spans="1:19" x14ac:dyDescent="0.25">
      <c r="A207">
        <v>8003879954</v>
      </c>
      <c r="B207">
        <v>50</v>
      </c>
      <c r="C207">
        <v>3032017</v>
      </c>
      <c r="D207">
        <v>341</v>
      </c>
      <c r="E207" t="s">
        <v>29</v>
      </c>
      <c r="F207">
        <v>9938</v>
      </c>
      <c r="G207" s="3">
        <v>14235812</v>
      </c>
      <c r="H207" s="1">
        <v>2500</v>
      </c>
      <c r="I207" s="1" t="s">
        <v>28</v>
      </c>
      <c r="J207" s="1">
        <v>151517.73000000001</v>
      </c>
      <c r="K207" t="s">
        <v>26</v>
      </c>
      <c r="L207">
        <v>182850</v>
      </c>
      <c r="M207" t="str">
        <f>"OON KOK EU"</f>
        <v>OON KOK EU</v>
      </c>
      <c r="O207">
        <v>1</v>
      </c>
      <c r="P207" t="str">
        <f>"PGTEFT2142"</f>
        <v>PGTEFT2142</v>
      </c>
      <c r="Q207" t="str">
        <f>"BROCHURE DISTRIBUTIO"</f>
        <v>BROCHURE DISTRIBUTIO</v>
      </c>
      <c r="S207">
        <f t="shared" si="1"/>
        <v>8021494980.7299995</v>
      </c>
    </row>
    <row r="208" spans="1:19" x14ac:dyDescent="0.25">
      <c r="A208">
        <v>8003879954</v>
      </c>
      <c r="B208">
        <v>49</v>
      </c>
      <c r="C208">
        <v>3032017</v>
      </c>
      <c r="D208">
        <v>299</v>
      </c>
      <c r="E208" t="s">
        <v>30</v>
      </c>
      <c r="F208">
        <v>9938</v>
      </c>
      <c r="G208" s="3">
        <v>14235812</v>
      </c>
      <c r="H208" s="1">
        <v>0.01</v>
      </c>
      <c r="I208" s="1" t="s">
        <v>28</v>
      </c>
      <c r="J208" s="1">
        <v>154017.73000000001</v>
      </c>
      <c r="K208" t="s">
        <v>26</v>
      </c>
      <c r="L208">
        <v>182850</v>
      </c>
      <c r="M208" t="str">
        <f>"PGTEFT2142          BROCHURE DISTRIBUTIO"</f>
        <v>PGTEFT2142          BROCHURE DISTRIBUTIO</v>
      </c>
      <c r="O208">
        <v>1</v>
      </c>
      <c r="S208">
        <f t="shared" si="1"/>
        <v>8021494937.7399998</v>
      </c>
    </row>
    <row r="209" spans="1:19" x14ac:dyDescent="0.25">
      <c r="A209">
        <v>8003879954</v>
      </c>
      <c r="B209">
        <v>48</v>
      </c>
      <c r="C209">
        <v>3032017</v>
      </c>
      <c r="D209">
        <v>489</v>
      </c>
      <c r="E209" t="s">
        <v>31</v>
      </c>
      <c r="F209">
        <v>9938</v>
      </c>
      <c r="G209" s="3">
        <v>14235812</v>
      </c>
      <c r="H209" s="1">
        <v>0.1</v>
      </c>
      <c r="I209" s="1" t="s">
        <v>28</v>
      </c>
      <c r="J209" s="1">
        <v>154017.74</v>
      </c>
      <c r="K209" t="s">
        <v>26</v>
      </c>
      <c r="L209">
        <v>182850</v>
      </c>
      <c r="M209" t="str">
        <f>"PGTEFT2142          BROCHURE DISTRIBUTIO"</f>
        <v>PGTEFT2142          BROCHURE DISTRIBUTIO</v>
      </c>
      <c r="O209">
        <v>1</v>
      </c>
      <c r="S209">
        <f t="shared" si="1"/>
        <v>8021495126.8400002</v>
      </c>
    </row>
    <row r="210" spans="1:19" x14ac:dyDescent="0.25">
      <c r="A210">
        <v>8003879954</v>
      </c>
      <c r="B210">
        <v>47</v>
      </c>
      <c r="C210">
        <v>3032017</v>
      </c>
      <c r="D210">
        <v>60</v>
      </c>
      <c r="E210" t="s">
        <v>43</v>
      </c>
      <c r="F210">
        <v>9938</v>
      </c>
      <c r="G210" s="3">
        <v>14235638</v>
      </c>
      <c r="H210" s="1">
        <v>182.1</v>
      </c>
      <c r="I210" s="1" t="s">
        <v>28</v>
      </c>
      <c r="J210" s="1">
        <v>154017.84</v>
      </c>
      <c r="K210" t="s">
        <v>26</v>
      </c>
      <c r="L210">
        <v>182850</v>
      </c>
      <c r="M210" t="str">
        <f>"RENEWAL OF ROAD TAX LIM HOOI LENG"</f>
        <v>RENEWAL OF ROAD TAX LIM HOOI LENG</v>
      </c>
      <c r="O210">
        <v>1</v>
      </c>
      <c r="P210" t="str">
        <f>"PGTEFT2144"</f>
        <v>PGTEFT2144</v>
      </c>
      <c r="Q210" t="str">
        <f>"CLAIMS"</f>
        <v>CLAIMS</v>
      </c>
      <c r="S210">
        <f t="shared" si="1"/>
        <v>8021494704.9400005</v>
      </c>
    </row>
    <row r="211" spans="1:19" x14ac:dyDescent="0.25">
      <c r="A211">
        <v>8003879954</v>
      </c>
      <c r="B211">
        <v>46</v>
      </c>
      <c r="C211">
        <v>3032017</v>
      </c>
      <c r="D211">
        <v>341</v>
      </c>
      <c r="E211" t="s">
        <v>29</v>
      </c>
      <c r="F211">
        <v>9938</v>
      </c>
      <c r="G211" s="3">
        <v>14236957</v>
      </c>
      <c r="H211" s="1">
        <v>2768.14</v>
      </c>
      <c r="I211" s="1" t="s">
        <v>28</v>
      </c>
      <c r="J211" s="1">
        <v>154199.94</v>
      </c>
      <c r="K211" t="s">
        <v>26</v>
      </c>
      <c r="L211">
        <v>182726</v>
      </c>
      <c r="M211" t="str">
        <f>"STERLING INSURANCE B"</f>
        <v>STERLING INSURANCE B</v>
      </c>
      <c r="O211">
        <v>1</v>
      </c>
      <c r="P211" t="str">
        <f>"PGTEFT2133"</f>
        <v>PGTEFT2133</v>
      </c>
      <c r="Q211" t="str">
        <f>"DN17-01926"</f>
        <v>DN17-01926</v>
      </c>
      <c r="S211">
        <f t="shared" si="1"/>
        <v>8021498948.0799999</v>
      </c>
    </row>
    <row r="212" spans="1:19" x14ac:dyDescent="0.25">
      <c r="A212">
        <v>8003879954</v>
      </c>
      <c r="B212">
        <v>45</v>
      </c>
      <c r="C212">
        <v>3032017</v>
      </c>
      <c r="D212">
        <v>299</v>
      </c>
      <c r="E212" t="s">
        <v>30</v>
      </c>
      <c r="F212">
        <v>9938</v>
      </c>
      <c r="G212" s="3">
        <v>14236957</v>
      </c>
      <c r="H212" s="1">
        <v>0.01</v>
      </c>
      <c r="I212" s="1" t="s">
        <v>28</v>
      </c>
      <c r="J212" s="1">
        <v>156968.07999999999</v>
      </c>
      <c r="K212" t="s">
        <v>26</v>
      </c>
      <c r="L212">
        <v>182726</v>
      </c>
      <c r="M212" t="str">
        <f>"PGTEFT2133          DN17-01926"</f>
        <v>PGTEFT2133          DN17-01926</v>
      </c>
      <c r="O212">
        <v>1</v>
      </c>
      <c r="S212">
        <f t="shared" si="1"/>
        <v>8021498905.0900002</v>
      </c>
    </row>
    <row r="213" spans="1:19" x14ac:dyDescent="0.25">
      <c r="A213">
        <v>8003879954</v>
      </c>
      <c r="B213">
        <v>44</v>
      </c>
      <c r="C213">
        <v>3032017</v>
      </c>
      <c r="D213">
        <v>489</v>
      </c>
      <c r="E213" t="s">
        <v>31</v>
      </c>
      <c r="F213">
        <v>9938</v>
      </c>
      <c r="G213" s="3">
        <v>14236957</v>
      </c>
      <c r="H213" s="1">
        <v>0.1</v>
      </c>
      <c r="I213" s="1" t="s">
        <v>28</v>
      </c>
      <c r="J213" s="1">
        <v>156968.09</v>
      </c>
      <c r="K213" t="s">
        <v>26</v>
      </c>
      <c r="L213">
        <v>182726</v>
      </c>
      <c r="M213" t="str">
        <f>"PGTEFT2133          DN17-01926"</f>
        <v>PGTEFT2133          DN17-01926</v>
      </c>
      <c r="O213">
        <v>1</v>
      </c>
      <c r="S213">
        <f t="shared" si="1"/>
        <v>8021499094.1900005</v>
      </c>
    </row>
    <row r="214" spans="1:19" x14ac:dyDescent="0.25">
      <c r="A214">
        <v>8003879954</v>
      </c>
      <c r="B214">
        <v>43</v>
      </c>
      <c r="C214">
        <v>3032017</v>
      </c>
      <c r="D214">
        <v>341</v>
      </c>
      <c r="E214" t="s">
        <v>29</v>
      </c>
      <c r="F214">
        <v>9938</v>
      </c>
      <c r="G214" s="3">
        <v>14235954</v>
      </c>
      <c r="H214" s="1">
        <v>90</v>
      </c>
      <c r="I214" s="1" t="s">
        <v>28</v>
      </c>
      <c r="J214" s="1">
        <v>156968.19</v>
      </c>
      <c r="K214" t="s">
        <v>26</v>
      </c>
      <c r="L214">
        <v>182723</v>
      </c>
      <c r="M214" t="str">
        <f>"YEAP KAM MOEY"</f>
        <v>YEAP KAM MOEY</v>
      </c>
      <c r="O214">
        <v>1</v>
      </c>
      <c r="P214" t="str">
        <f>"PGTEFT2141"</f>
        <v>PGTEFT2141</v>
      </c>
      <c r="Q214" t="str">
        <f>"11FEB2017"</f>
        <v>11FEB2017</v>
      </c>
      <c r="S214">
        <f t="shared" si="1"/>
        <v>8021498029.1899996</v>
      </c>
    </row>
    <row r="215" spans="1:19" x14ac:dyDescent="0.25">
      <c r="A215">
        <v>8003879954</v>
      </c>
      <c r="B215">
        <v>42</v>
      </c>
      <c r="C215">
        <v>3032017</v>
      </c>
      <c r="D215">
        <v>299</v>
      </c>
      <c r="E215" t="s">
        <v>30</v>
      </c>
      <c r="F215">
        <v>9938</v>
      </c>
      <c r="G215" s="3">
        <v>14235954</v>
      </c>
      <c r="H215" s="1">
        <v>0.01</v>
      </c>
      <c r="I215" s="1" t="s">
        <v>28</v>
      </c>
      <c r="J215" s="1">
        <v>157058.19</v>
      </c>
      <c r="K215" t="s">
        <v>26</v>
      </c>
      <c r="L215">
        <v>182723</v>
      </c>
      <c r="M215" t="str">
        <f>"PGTEFT2141          11FEB2017"</f>
        <v>PGTEFT2141          11FEB2017</v>
      </c>
      <c r="O215">
        <v>1</v>
      </c>
      <c r="S215">
        <f t="shared" si="1"/>
        <v>8021497986.1999998</v>
      </c>
    </row>
    <row r="216" spans="1:19" x14ac:dyDescent="0.25">
      <c r="A216">
        <v>8003879954</v>
      </c>
      <c r="B216">
        <v>41</v>
      </c>
      <c r="C216">
        <v>3032017</v>
      </c>
      <c r="D216">
        <v>489</v>
      </c>
      <c r="E216" t="s">
        <v>31</v>
      </c>
      <c r="F216">
        <v>9938</v>
      </c>
      <c r="G216" s="3">
        <v>14235954</v>
      </c>
      <c r="H216" s="1">
        <v>0.1</v>
      </c>
      <c r="I216" s="1" t="s">
        <v>28</v>
      </c>
      <c r="J216" s="1">
        <v>157058.20000000001</v>
      </c>
      <c r="K216" t="s">
        <v>26</v>
      </c>
      <c r="L216">
        <v>182723</v>
      </c>
      <c r="M216" t="str">
        <f>"PGTEFT2141          11FEB2017"</f>
        <v>PGTEFT2141          11FEB2017</v>
      </c>
      <c r="O216">
        <v>1</v>
      </c>
      <c r="S216">
        <f t="shared" si="1"/>
        <v>8021498175.3000002</v>
      </c>
    </row>
    <row r="217" spans="1:19" x14ac:dyDescent="0.25">
      <c r="A217">
        <v>8003879954</v>
      </c>
      <c r="B217">
        <v>40</v>
      </c>
      <c r="C217">
        <v>3032017</v>
      </c>
      <c r="D217">
        <v>341</v>
      </c>
      <c r="E217" t="s">
        <v>29</v>
      </c>
      <c r="F217">
        <v>9938</v>
      </c>
      <c r="G217" s="3">
        <v>14236033</v>
      </c>
      <c r="H217" s="1">
        <v>257.58</v>
      </c>
      <c r="I217" s="1" t="s">
        <v>28</v>
      </c>
      <c r="J217" s="1">
        <v>157058.29999999999</v>
      </c>
      <c r="K217" t="s">
        <v>26</v>
      </c>
      <c r="L217">
        <v>182724</v>
      </c>
      <c r="M217" t="str">
        <f>"TOONG LI STATIONERY"</f>
        <v>TOONG LI STATIONERY</v>
      </c>
      <c r="O217">
        <v>1</v>
      </c>
      <c r="P217" t="str">
        <f>"PGTEFT2139"</f>
        <v>PGTEFT2139</v>
      </c>
      <c r="Q217" t="str">
        <f>"IV-125541"</f>
        <v>IV-125541</v>
      </c>
      <c r="S217">
        <f t="shared" si="1"/>
        <v>8021498363.8800001</v>
      </c>
    </row>
    <row r="218" spans="1:19" x14ac:dyDescent="0.25">
      <c r="A218">
        <v>8003879954</v>
      </c>
      <c r="B218">
        <v>39</v>
      </c>
      <c r="C218">
        <v>3032017</v>
      </c>
      <c r="D218">
        <v>299</v>
      </c>
      <c r="E218" t="s">
        <v>30</v>
      </c>
      <c r="F218">
        <v>9938</v>
      </c>
      <c r="G218" s="3">
        <v>14236033</v>
      </c>
      <c r="H218" s="1">
        <v>0.01</v>
      </c>
      <c r="I218" s="1" t="s">
        <v>28</v>
      </c>
      <c r="J218" s="1">
        <v>157315.88</v>
      </c>
      <c r="K218" t="s">
        <v>26</v>
      </c>
      <c r="L218">
        <v>182724</v>
      </c>
      <c r="M218" t="str">
        <f>"PGTEFT2139          IV-125541"</f>
        <v>PGTEFT2139          IV-125541</v>
      </c>
      <c r="O218">
        <v>1</v>
      </c>
      <c r="S218">
        <f t="shared" ref="S218:S249" si="2">SUM(A218:R218)</f>
        <v>8021498320.8900003</v>
      </c>
    </row>
    <row r="219" spans="1:19" x14ac:dyDescent="0.25">
      <c r="A219">
        <v>8003879954</v>
      </c>
      <c r="B219">
        <v>38</v>
      </c>
      <c r="C219">
        <v>3032017</v>
      </c>
      <c r="D219">
        <v>489</v>
      </c>
      <c r="E219" t="s">
        <v>31</v>
      </c>
      <c r="F219">
        <v>9938</v>
      </c>
      <c r="G219" s="3">
        <v>14236033</v>
      </c>
      <c r="H219" s="1">
        <v>0.1</v>
      </c>
      <c r="I219" s="1" t="s">
        <v>28</v>
      </c>
      <c r="J219" s="1">
        <v>157315.89000000001</v>
      </c>
      <c r="K219" t="s">
        <v>26</v>
      </c>
      <c r="L219">
        <v>182724</v>
      </c>
      <c r="M219" t="str">
        <f>"PGTEFT2139          IV-125541"</f>
        <v>PGTEFT2139          IV-125541</v>
      </c>
      <c r="O219">
        <v>1</v>
      </c>
      <c r="S219">
        <f t="shared" si="2"/>
        <v>8021498509.9900007</v>
      </c>
    </row>
    <row r="220" spans="1:19" x14ac:dyDescent="0.25">
      <c r="A220">
        <v>8003879954</v>
      </c>
      <c r="B220">
        <v>37</v>
      </c>
      <c r="C220">
        <v>3032017</v>
      </c>
      <c r="D220">
        <v>341</v>
      </c>
      <c r="E220" t="s">
        <v>29</v>
      </c>
      <c r="F220">
        <v>9938</v>
      </c>
      <c r="G220" s="3">
        <v>14237044</v>
      </c>
      <c r="H220" s="1">
        <v>2531.0700000000002</v>
      </c>
      <c r="I220" s="1" t="s">
        <v>28</v>
      </c>
      <c r="J220" s="1">
        <v>157315.99</v>
      </c>
      <c r="K220" t="s">
        <v>26</v>
      </c>
      <c r="L220">
        <v>182721</v>
      </c>
      <c r="M220" t="str">
        <f>"ROD CREATIVE SDN BHD"</f>
        <v>ROD CREATIVE SDN BHD</v>
      </c>
      <c r="O220">
        <v>1</v>
      </c>
      <c r="P220" t="str">
        <f>"PGTEFT2132"</f>
        <v>PGTEFT2132</v>
      </c>
      <c r="Q220" t="str">
        <f>"151222 151181 151226"</f>
        <v>151222 151181 151226</v>
      </c>
      <c r="S220">
        <f t="shared" si="2"/>
        <v>8021501900.0599995</v>
      </c>
    </row>
    <row r="221" spans="1:19" x14ac:dyDescent="0.25">
      <c r="A221">
        <v>8003879954</v>
      </c>
      <c r="B221">
        <v>36</v>
      </c>
      <c r="C221">
        <v>3032017</v>
      </c>
      <c r="D221">
        <v>299</v>
      </c>
      <c r="E221" t="s">
        <v>30</v>
      </c>
      <c r="F221">
        <v>9938</v>
      </c>
      <c r="G221" s="3">
        <v>14237044</v>
      </c>
      <c r="H221" s="1">
        <v>0.01</v>
      </c>
      <c r="I221" s="1" t="s">
        <v>28</v>
      </c>
      <c r="J221" s="1">
        <v>159847.06</v>
      </c>
      <c r="K221" t="s">
        <v>26</v>
      </c>
      <c r="L221">
        <v>182721</v>
      </c>
      <c r="M221" t="str">
        <f>"PGTEFT2132          151222 151181 151226"</f>
        <v>PGTEFT2132          151222 151181 151226</v>
      </c>
      <c r="O221">
        <v>1</v>
      </c>
      <c r="S221">
        <f t="shared" si="2"/>
        <v>8021501857.0700006</v>
      </c>
    </row>
    <row r="222" spans="1:19" x14ac:dyDescent="0.25">
      <c r="A222">
        <v>8003879954</v>
      </c>
      <c r="B222">
        <v>35</v>
      </c>
      <c r="C222">
        <v>3032017</v>
      </c>
      <c r="D222">
        <v>489</v>
      </c>
      <c r="E222" t="s">
        <v>31</v>
      </c>
      <c r="F222">
        <v>9938</v>
      </c>
      <c r="G222" s="3">
        <v>14237044</v>
      </c>
      <c r="H222" s="1">
        <v>0.1</v>
      </c>
      <c r="I222" s="1" t="s">
        <v>28</v>
      </c>
      <c r="J222" s="1">
        <v>159847.07</v>
      </c>
      <c r="K222" t="s">
        <v>26</v>
      </c>
      <c r="L222">
        <v>182721</v>
      </c>
      <c r="M222" t="str">
        <f>"PGTEFT2132          151222 151181 151226"</f>
        <v>PGTEFT2132          151222 151181 151226</v>
      </c>
      <c r="O222">
        <v>1</v>
      </c>
      <c r="S222">
        <f t="shared" si="2"/>
        <v>8021502046.1700001</v>
      </c>
    </row>
    <row r="223" spans="1:19" x14ac:dyDescent="0.25">
      <c r="A223">
        <v>8003879954</v>
      </c>
      <c r="B223">
        <v>34</v>
      </c>
      <c r="C223">
        <v>3032017</v>
      </c>
      <c r="D223">
        <v>345</v>
      </c>
      <c r="E223" t="s">
        <v>27</v>
      </c>
      <c r="F223">
        <v>9938</v>
      </c>
      <c r="G223" s="3">
        <v>14236532</v>
      </c>
      <c r="H223" s="1">
        <v>1826.17</v>
      </c>
      <c r="I223" s="1" t="s">
        <v>28</v>
      </c>
      <c r="J223" s="1">
        <v>159847.17000000001</v>
      </c>
      <c r="K223" t="s">
        <v>26</v>
      </c>
      <c r="L223">
        <v>182721</v>
      </c>
      <c r="M223" t="str">
        <f>"TITF THOY SIEW PING"</f>
        <v>TITF THOY SIEW PING</v>
      </c>
      <c r="O223">
        <v>1</v>
      </c>
      <c r="P223" t="str">
        <f>"PGTEFT2138"</f>
        <v>PGTEFT2138</v>
      </c>
      <c r="Q223" t="str">
        <f>"CLAIMS"</f>
        <v>CLAIMS</v>
      </c>
      <c r="S223">
        <f t="shared" si="2"/>
        <v>8021503215.3400002</v>
      </c>
    </row>
    <row r="224" spans="1:19" x14ac:dyDescent="0.25">
      <c r="A224">
        <v>8003879954</v>
      </c>
      <c r="B224">
        <v>33</v>
      </c>
      <c r="C224">
        <v>3032017</v>
      </c>
      <c r="D224">
        <v>341</v>
      </c>
      <c r="E224" t="s">
        <v>29</v>
      </c>
      <c r="F224">
        <v>9938</v>
      </c>
      <c r="G224" s="3">
        <v>14236599</v>
      </c>
      <c r="H224" s="1">
        <v>800.8</v>
      </c>
      <c r="I224" s="1" t="s">
        <v>28</v>
      </c>
      <c r="J224" s="1">
        <v>161673.34</v>
      </c>
      <c r="K224" t="s">
        <v>26</v>
      </c>
      <c r="L224">
        <v>182723</v>
      </c>
      <c r="M224" t="str">
        <f>"TNT EXPRESS WORLDWID"</f>
        <v>TNT EXPRESS WORLDWID</v>
      </c>
      <c r="O224">
        <v>1</v>
      </c>
      <c r="P224" t="str">
        <f>"PGTEFT2137"</f>
        <v>PGTEFT2137</v>
      </c>
      <c r="Q224" t="str">
        <f>"INV07130618"</f>
        <v>INV07130618</v>
      </c>
      <c r="S224">
        <f t="shared" si="2"/>
        <v>8021504080.1400003</v>
      </c>
    </row>
    <row r="225" spans="1:19" x14ac:dyDescent="0.25">
      <c r="A225">
        <v>8003879954</v>
      </c>
      <c r="B225">
        <v>32</v>
      </c>
      <c r="C225">
        <v>3032017</v>
      </c>
      <c r="D225">
        <v>299</v>
      </c>
      <c r="E225" t="s">
        <v>30</v>
      </c>
      <c r="F225">
        <v>9938</v>
      </c>
      <c r="G225" s="3">
        <v>14236599</v>
      </c>
      <c r="H225" s="1">
        <v>0.01</v>
      </c>
      <c r="I225" s="1" t="s">
        <v>28</v>
      </c>
      <c r="J225" s="1">
        <v>162474.14000000001</v>
      </c>
      <c r="K225" t="s">
        <v>26</v>
      </c>
      <c r="L225">
        <v>182723</v>
      </c>
      <c r="M225" t="str">
        <f>"PGTEFT2137          INV07130618"</f>
        <v>PGTEFT2137          INV07130618</v>
      </c>
      <c r="O225">
        <v>1</v>
      </c>
      <c r="S225">
        <f t="shared" si="2"/>
        <v>8021504037.1500006</v>
      </c>
    </row>
    <row r="226" spans="1:19" x14ac:dyDescent="0.25">
      <c r="A226">
        <v>8003879954</v>
      </c>
      <c r="B226">
        <v>31</v>
      </c>
      <c r="C226">
        <v>3032017</v>
      </c>
      <c r="D226">
        <v>489</v>
      </c>
      <c r="E226" t="s">
        <v>31</v>
      </c>
      <c r="F226">
        <v>9938</v>
      </c>
      <c r="G226" s="3">
        <v>14236599</v>
      </c>
      <c r="H226" s="1">
        <v>0.1</v>
      </c>
      <c r="I226" s="1" t="s">
        <v>28</v>
      </c>
      <c r="J226" s="1">
        <v>162474.15</v>
      </c>
      <c r="K226" t="s">
        <v>26</v>
      </c>
      <c r="L226">
        <v>182723</v>
      </c>
      <c r="M226" t="str">
        <f>"PGTEFT2137          INV07130618"</f>
        <v>PGTEFT2137          INV07130618</v>
      </c>
      <c r="O226">
        <v>1</v>
      </c>
      <c r="S226">
        <f t="shared" si="2"/>
        <v>8021504226.25</v>
      </c>
    </row>
    <row r="227" spans="1:19" x14ac:dyDescent="0.25">
      <c r="A227">
        <v>8003879954</v>
      </c>
      <c r="B227">
        <v>30</v>
      </c>
      <c r="C227">
        <v>3032017</v>
      </c>
      <c r="D227">
        <v>341</v>
      </c>
      <c r="E227" t="s">
        <v>29</v>
      </c>
      <c r="F227">
        <v>9938</v>
      </c>
      <c r="G227" s="3">
        <v>14236831</v>
      </c>
      <c r="H227" s="1">
        <v>1462.8</v>
      </c>
      <c r="I227" s="1" t="s">
        <v>28</v>
      </c>
      <c r="J227" s="1">
        <v>162474.25</v>
      </c>
      <c r="K227" t="s">
        <v>26</v>
      </c>
      <c r="L227">
        <v>182722</v>
      </c>
      <c r="M227" t="str">
        <f>"SE VENA NETWORKS SDN"</f>
        <v>SE VENA NETWORKS SDN</v>
      </c>
      <c r="O227">
        <v>1</v>
      </c>
      <c r="P227" t="str">
        <f>"PGTEFT2135"</f>
        <v>PGTEFT2135</v>
      </c>
      <c r="Q227" t="str">
        <f>"SN-NC-17-0105 0104"</f>
        <v>SN-NC-17-0105 0104</v>
      </c>
      <c r="S227">
        <f t="shared" si="2"/>
        <v>8021505771.0500002</v>
      </c>
    </row>
    <row r="228" spans="1:19" x14ac:dyDescent="0.25">
      <c r="A228">
        <v>8003879954</v>
      </c>
      <c r="B228">
        <v>29</v>
      </c>
      <c r="C228">
        <v>3032017</v>
      </c>
      <c r="D228">
        <v>299</v>
      </c>
      <c r="E228" t="s">
        <v>30</v>
      </c>
      <c r="F228">
        <v>9938</v>
      </c>
      <c r="G228" s="3">
        <v>14236831</v>
      </c>
      <c r="H228" s="1">
        <v>0.01</v>
      </c>
      <c r="I228" s="1" t="s">
        <v>28</v>
      </c>
      <c r="J228" s="1">
        <v>163937.04999999999</v>
      </c>
      <c r="K228" t="s">
        <v>26</v>
      </c>
      <c r="L228">
        <v>182722</v>
      </c>
      <c r="M228" t="str">
        <f>"PGTEFT2135          SN-NC-17-0105 0104"</f>
        <v>PGTEFT2135          SN-NC-17-0105 0104</v>
      </c>
      <c r="O228">
        <v>1</v>
      </c>
      <c r="S228">
        <f t="shared" si="2"/>
        <v>8021505728.0600004</v>
      </c>
    </row>
    <row r="229" spans="1:19" x14ac:dyDescent="0.25">
      <c r="A229">
        <v>8003879954</v>
      </c>
      <c r="B229">
        <v>28</v>
      </c>
      <c r="C229">
        <v>3032017</v>
      </c>
      <c r="D229">
        <v>489</v>
      </c>
      <c r="E229" t="s">
        <v>31</v>
      </c>
      <c r="F229">
        <v>9938</v>
      </c>
      <c r="G229" s="3">
        <v>14236831</v>
      </c>
      <c r="H229" s="1">
        <v>0.1</v>
      </c>
      <c r="I229" s="1" t="s">
        <v>28</v>
      </c>
      <c r="J229" s="1">
        <v>163937.06</v>
      </c>
      <c r="K229" t="s">
        <v>26</v>
      </c>
      <c r="L229">
        <v>182722</v>
      </c>
      <c r="M229" t="str">
        <f>"PGTEFT2135          SN-NC-17-0105 0104"</f>
        <v>PGTEFT2135          SN-NC-17-0105 0104</v>
      </c>
      <c r="O229">
        <v>1</v>
      </c>
      <c r="S229">
        <f t="shared" si="2"/>
        <v>8021505917.1600008</v>
      </c>
    </row>
    <row r="230" spans="1:19" x14ac:dyDescent="0.25">
      <c r="A230">
        <v>8003879954</v>
      </c>
      <c r="B230">
        <v>27</v>
      </c>
      <c r="C230">
        <v>3032017</v>
      </c>
      <c r="D230">
        <v>341</v>
      </c>
      <c r="E230" t="s">
        <v>29</v>
      </c>
      <c r="F230">
        <v>9938</v>
      </c>
      <c r="G230" s="3">
        <v>14236748</v>
      </c>
      <c r="H230" s="1">
        <v>737.75</v>
      </c>
      <c r="I230" s="1" t="s">
        <v>28</v>
      </c>
      <c r="J230" s="1">
        <v>163937.16</v>
      </c>
      <c r="K230" t="s">
        <v>26</v>
      </c>
      <c r="L230">
        <v>182721</v>
      </c>
      <c r="M230" t="str">
        <f>"TOP ONE DIGITAL SHOP"</f>
        <v>TOP ONE DIGITAL SHOP</v>
      </c>
      <c r="O230">
        <v>1</v>
      </c>
      <c r="P230" t="str">
        <f>"PGTEFT2136"</f>
        <v>PGTEFT2136</v>
      </c>
      <c r="Q230" t="str">
        <f>"IV-0019524"</f>
        <v>IV-0019524</v>
      </c>
      <c r="S230">
        <f t="shared" si="2"/>
        <v>8021506421.9099998</v>
      </c>
    </row>
    <row r="231" spans="1:19" x14ac:dyDescent="0.25">
      <c r="A231">
        <v>8003879954</v>
      </c>
      <c r="B231">
        <v>26</v>
      </c>
      <c r="C231">
        <v>3032017</v>
      </c>
      <c r="D231">
        <v>299</v>
      </c>
      <c r="E231" t="s">
        <v>30</v>
      </c>
      <c r="F231">
        <v>9938</v>
      </c>
      <c r="G231" s="3">
        <v>14236748</v>
      </c>
      <c r="H231" s="1">
        <v>0.01</v>
      </c>
      <c r="I231" s="1" t="s">
        <v>28</v>
      </c>
      <c r="J231" s="1">
        <v>164674.91</v>
      </c>
      <c r="K231" t="s">
        <v>26</v>
      </c>
      <c r="L231">
        <v>182721</v>
      </c>
      <c r="M231" t="str">
        <f>"PGTEFT2136          IV-0019524"</f>
        <v>PGTEFT2136          IV-0019524</v>
      </c>
      <c r="O231">
        <v>1</v>
      </c>
      <c r="S231">
        <f t="shared" si="2"/>
        <v>8021506378.9200001</v>
      </c>
    </row>
    <row r="232" spans="1:19" x14ac:dyDescent="0.25">
      <c r="A232">
        <v>8003879954</v>
      </c>
      <c r="B232">
        <v>25</v>
      </c>
      <c r="C232">
        <v>3032017</v>
      </c>
      <c r="D232">
        <v>489</v>
      </c>
      <c r="E232" t="s">
        <v>31</v>
      </c>
      <c r="F232">
        <v>9938</v>
      </c>
      <c r="G232" s="3">
        <v>14236748</v>
      </c>
      <c r="H232" s="1">
        <v>0.1</v>
      </c>
      <c r="I232" s="1" t="s">
        <v>28</v>
      </c>
      <c r="J232" s="1">
        <v>164674.92000000001</v>
      </c>
      <c r="K232" t="s">
        <v>26</v>
      </c>
      <c r="L232">
        <v>182721</v>
      </c>
      <c r="M232" t="str">
        <f>"PGTEFT2136          IV-0019524"</f>
        <v>PGTEFT2136          IV-0019524</v>
      </c>
      <c r="O232">
        <v>1</v>
      </c>
      <c r="S232">
        <f t="shared" si="2"/>
        <v>8021506568.0200005</v>
      </c>
    </row>
    <row r="233" spans="1:19" x14ac:dyDescent="0.25">
      <c r="A233">
        <v>8003879954</v>
      </c>
      <c r="B233">
        <v>24</v>
      </c>
      <c r="C233">
        <v>3032017</v>
      </c>
      <c r="D233">
        <v>60</v>
      </c>
      <c r="E233" t="s">
        <v>43</v>
      </c>
      <c r="F233">
        <v>9938</v>
      </c>
      <c r="G233" s="3">
        <v>14236909</v>
      </c>
      <c r="H233" s="1">
        <v>3975</v>
      </c>
      <c r="I233" s="1" t="s">
        <v>28</v>
      </c>
      <c r="J233" s="1">
        <v>164675.01999999999</v>
      </c>
      <c r="K233" t="s">
        <v>26</v>
      </c>
      <c r="L233">
        <v>182721</v>
      </c>
      <c r="M233" t="str">
        <f>"COURSE FEE PENANG SKILLS DEVEL"</f>
        <v>COURSE FEE PENANG SKILLS DEVEL</v>
      </c>
      <c r="O233">
        <v>1</v>
      </c>
      <c r="P233" t="str">
        <f>"PGTEFT2134"</f>
        <v>PGTEFT2134</v>
      </c>
      <c r="Q233" t="str">
        <f>"INV1728766 8767"</f>
        <v>INV1728766 8767</v>
      </c>
      <c r="S233">
        <f t="shared" si="2"/>
        <v>8021510274.0200005</v>
      </c>
    </row>
    <row r="234" spans="1:19" x14ac:dyDescent="0.25">
      <c r="A234">
        <v>8003879954</v>
      </c>
      <c r="B234">
        <v>23</v>
      </c>
      <c r="C234">
        <v>3032017</v>
      </c>
      <c r="D234">
        <v>60</v>
      </c>
      <c r="E234" t="s">
        <v>43</v>
      </c>
      <c r="F234">
        <v>9938</v>
      </c>
      <c r="G234" s="3">
        <v>14236003</v>
      </c>
      <c r="H234" s="1">
        <v>90</v>
      </c>
      <c r="I234" s="1" t="s">
        <v>28</v>
      </c>
      <c r="J234" s="1">
        <v>168650.02</v>
      </c>
      <c r="K234" t="s">
        <v>26</v>
      </c>
      <c r="L234">
        <v>182721</v>
      </c>
      <c r="M234" t="str">
        <f>"GUIDE FEE ON 11.1.17 TOH KIM HOCK"</f>
        <v>GUIDE FEE ON 11.1.17 TOH KIM HOCK</v>
      </c>
      <c r="O234">
        <v>1</v>
      </c>
      <c r="P234" t="str">
        <f>"PGTEFT2140"</f>
        <v>PGTEFT2140</v>
      </c>
      <c r="Q234" t="str">
        <f>"INV91T-2017"</f>
        <v>INV91T-2017</v>
      </c>
      <c r="S234">
        <f t="shared" si="2"/>
        <v>8021509457.0200005</v>
      </c>
    </row>
    <row r="235" spans="1:19" x14ac:dyDescent="0.25">
      <c r="A235">
        <v>8003879954</v>
      </c>
      <c r="B235">
        <v>22</v>
      </c>
      <c r="C235">
        <v>3032017</v>
      </c>
      <c r="D235">
        <v>341</v>
      </c>
      <c r="E235" t="s">
        <v>29</v>
      </c>
      <c r="F235">
        <v>9938</v>
      </c>
      <c r="G235" s="3">
        <v>14237797</v>
      </c>
      <c r="H235" s="1">
        <v>40</v>
      </c>
      <c r="I235" s="1" t="s">
        <v>28</v>
      </c>
      <c r="J235" s="1">
        <v>168740.02</v>
      </c>
      <c r="K235" t="s">
        <v>26</v>
      </c>
      <c r="L235">
        <v>182131</v>
      </c>
      <c r="M235" t="str">
        <f>"ONG JIN TEONG"</f>
        <v>ONG JIN TEONG</v>
      </c>
      <c r="O235">
        <v>1</v>
      </c>
      <c r="P235" t="str">
        <f>"PGTEFT2129"</f>
        <v>PGTEFT2129</v>
      </c>
      <c r="Q235" t="str">
        <f>"PGT-PHF-16"</f>
        <v>PGT-PHF-16</v>
      </c>
      <c r="S235">
        <f t="shared" si="2"/>
        <v>8021510981.0200005</v>
      </c>
    </row>
    <row r="236" spans="1:19" x14ac:dyDescent="0.25">
      <c r="A236">
        <v>8003879954</v>
      </c>
      <c r="B236">
        <v>21</v>
      </c>
      <c r="C236">
        <v>3032017</v>
      </c>
      <c r="D236">
        <v>299</v>
      </c>
      <c r="E236" t="s">
        <v>30</v>
      </c>
      <c r="F236">
        <v>9938</v>
      </c>
      <c r="G236" s="3">
        <v>14237797</v>
      </c>
      <c r="H236" s="1">
        <v>0.01</v>
      </c>
      <c r="I236" s="1" t="s">
        <v>28</v>
      </c>
      <c r="J236" s="1">
        <v>168780.02</v>
      </c>
      <c r="K236" t="s">
        <v>26</v>
      </c>
      <c r="L236">
        <v>182131</v>
      </c>
      <c r="M236" t="str">
        <f>"PGTEFT2129          PGT-PHF-16"</f>
        <v>PGTEFT2129          PGT-PHF-16</v>
      </c>
      <c r="O236">
        <v>1</v>
      </c>
      <c r="S236">
        <f t="shared" si="2"/>
        <v>8021510938.0300007</v>
      </c>
    </row>
    <row r="237" spans="1:19" x14ac:dyDescent="0.25">
      <c r="A237">
        <v>8003879954</v>
      </c>
      <c r="B237">
        <v>20</v>
      </c>
      <c r="C237">
        <v>3032017</v>
      </c>
      <c r="D237">
        <v>489</v>
      </c>
      <c r="E237" t="s">
        <v>31</v>
      </c>
      <c r="F237">
        <v>9938</v>
      </c>
      <c r="G237" s="3">
        <v>14237797</v>
      </c>
      <c r="H237" s="1">
        <v>0.1</v>
      </c>
      <c r="I237" s="1" t="s">
        <v>28</v>
      </c>
      <c r="J237" s="1">
        <v>168780.03</v>
      </c>
      <c r="K237" t="s">
        <v>26</v>
      </c>
      <c r="L237">
        <v>182131</v>
      </c>
      <c r="M237" t="str">
        <f>"PGTEFT2129          PGT-PHF-16"</f>
        <v>PGTEFT2129          PGT-PHF-16</v>
      </c>
      <c r="O237">
        <v>1</v>
      </c>
      <c r="S237">
        <f t="shared" si="2"/>
        <v>8021511127.1300001</v>
      </c>
    </row>
    <row r="238" spans="1:19" x14ac:dyDescent="0.25">
      <c r="A238">
        <v>8003879954</v>
      </c>
      <c r="B238">
        <v>19</v>
      </c>
      <c r="C238">
        <v>3032017</v>
      </c>
      <c r="D238">
        <v>341</v>
      </c>
      <c r="E238" t="s">
        <v>29</v>
      </c>
      <c r="F238">
        <v>9938</v>
      </c>
      <c r="G238" s="3">
        <v>14237476</v>
      </c>
      <c r="H238" s="1">
        <v>100</v>
      </c>
      <c r="I238" s="1" t="s">
        <v>28</v>
      </c>
      <c r="J238" s="1">
        <v>168780.13</v>
      </c>
      <c r="K238" t="s">
        <v>26</v>
      </c>
      <c r="L238">
        <v>182132</v>
      </c>
      <c r="M238" t="str">
        <f>"RED STAR PRODUCTION"</f>
        <v>RED STAR PRODUCTION</v>
      </c>
      <c r="O238">
        <v>1</v>
      </c>
      <c r="P238" t="str">
        <f>"PGTEFT2131"</f>
        <v>PGTEFT2131</v>
      </c>
      <c r="Q238" t="str">
        <f>"INV JAN 2017"</f>
        <v>INV JAN 2017</v>
      </c>
      <c r="S238">
        <f t="shared" si="2"/>
        <v>8021510758.1300001</v>
      </c>
    </row>
    <row r="239" spans="1:19" x14ac:dyDescent="0.25">
      <c r="A239">
        <v>8003879954</v>
      </c>
      <c r="B239">
        <v>18</v>
      </c>
      <c r="C239">
        <v>3032017</v>
      </c>
      <c r="D239">
        <v>299</v>
      </c>
      <c r="E239" t="s">
        <v>30</v>
      </c>
      <c r="F239">
        <v>9938</v>
      </c>
      <c r="G239" s="3">
        <v>14237476</v>
      </c>
      <c r="H239" s="1">
        <v>0.01</v>
      </c>
      <c r="I239" s="1" t="s">
        <v>28</v>
      </c>
      <c r="J239" s="1">
        <v>168880.13</v>
      </c>
      <c r="K239" t="s">
        <v>26</v>
      </c>
      <c r="L239">
        <v>182132</v>
      </c>
      <c r="M239" t="str">
        <f>"PGTEFT2131          INV JAN 2017"</f>
        <v>PGTEFT2131          INV JAN 2017</v>
      </c>
      <c r="O239">
        <v>1</v>
      </c>
      <c r="S239">
        <f t="shared" si="2"/>
        <v>8021510715.1400003</v>
      </c>
    </row>
    <row r="240" spans="1:19" x14ac:dyDescent="0.25">
      <c r="A240">
        <v>8003879954</v>
      </c>
      <c r="B240">
        <v>17</v>
      </c>
      <c r="C240">
        <v>3032017</v>
      </c>
      <c r="D240">
        <v>489</v>
      </c>
      <c r="E240" t="s">
        <v>31</v>
      </c>
      <c r="F240">
        <v>9938</v>
      </c>
      <c r="G240" s="3">
        <v>14237476</v>
      </c>
      <c r="H240" s="1">
        <v>0.1</v>
      </c>
      <c r="I240" s="1" t="s">
        <v>28</v>
      </c>
      <c r="J240" s="1">
        <v>168880.14</v>
      </c>
      <c r="K240" t="s">
        <v>26</v>
      </c>
      <c r="L240">
        <v>182132</v>
      </c>
      <c r="M240" t="str">
        <f>"PGTEFT2131          INV JAN 2017"</f>
        <v>PGTEFT2131          INV JAN 2017</v>
      </c>
      <c r="O240">
        <v>1</v>
      </c>
      <c r="S240">
        <f t="shared" si="2"/>
        <v>8021510904.2400007</v>
      </c>
    </row>
    <row r="241" spans="1:19" x14ac:dyDescent="0.25">
      <c r="A241">
        <v>8003879954</v>
      </c>
      <c r="B241">
        <v>16</v>
      </c>
      <c r="C241">
        <v>3032017</v>
      </c>
      <c r="D241">
        <v>341</v>
      </c>
      <c r="E241" t="s">
        <v>29</v>
      </c>
      <c r="F241">
        <v>9938</v>
      </c>
      <c r="G241" s="3">
        <v>14238033</v>
      </c>
      <c r="H241" s="1">
        <v>867.21</v>
      </c>
      <c r="I241" s="1" t="s">
        <v>28</v>
      </c>
      <c r="J241" s="1">
        <v>168880.24</v>
      </c>
      <c r="K241" t="s">
        <v>26</v>
      </c>
      <c r="L241">
        <v>182131</v>
      </c>
      <c r="M241" t="str">
        <f>"MSIG INSURANCE (MALA"</f>
        <v>MSIG INSURANCE (MALA</v>
      </c>
      <c r="O241">
        <v>1</v>
      </c>
      <c r="P241" t="str">
        <f>"PGTEFT2127"</f>
        <v>PGTEFT2127</v>
      </c>
      <c r="Q241" t="str">
        <f>"GL1017295"</f>
        <v>GL1017295</v>
      </c>
      <c r="S241">
        <f t="shared" si="2"/>
        <v>8021512178.4499998</v>
      </c>
    </row>
    <row r="242" spans="1:19" x14ac:dyDescent="0.25">
      <c r="A242">
        <v>8003879954</v>
      </c>
      <c r="B242">
        <v>15</v>
      </c>
      <c r="C242">
        <v>3032017</v>
      </c>
      <c r="D242">
        <v>299</v>
      </c>
      <c r="E242" t="s">
        <v>30</v>
      </c>
      <c r="F242">
        <v>9938</v>
      </c>
      <c r="G242" s="3">
        <v>14238033</v>
      </c>
      <c r="H242" s="1">
        <v>0.01</v>
      </c>
      <c r="I242" s="1" t="s">
        <v>28</v>
      </c>
      <c r="J242" s="1">
        <v>169747.45</v>
      </c>
      <c r="K242" t="s">
        <v>26</v>
      </c>
      <c r="L242">
        <v>182131</v>
      </c>
      <c r="M242" t="str">
        <f>"PGTEFT2127          GL1017295"</f>
        <v>PGTEFT2127          GL1017295</v>
      </c>
      <c r="O242">
        <v>1</v>
      </c>
      <c r="S242">
        <f t="shared" si="2"/>
        <v>8021512135.46</v>
      </c>
    </row>
    <row r="243" spans="1:19" x14ac:dyDescent="0.25">
      <c r="A243">
        <v>8003879954</v>
      </c>
      <c r="B243">
        <v>14</v>
      </c>
      <c r="C243">
        <v>3032017</v>
      </c>
      <c r="D243">
        <v>489</v>
      </c>
      <c r="E243" t="s">
        <v>31</v>
      </c>
      <c r="F243">
        <v>9938</v>
      </c>
      <c r="G243" s="3">
        <v>14238033</v>
      </c>
      <c r="H243" s="1">
        <v>0.1</v>
      </c>
      <c r="I243" s="1" t="s">
        <v>28</v>
      </c>
      <c r="J243" s="1">
        <v>169747.46</v>
      </c>
      <c r="K243" t="s">
        <v>26</v>
      </c>
      <c r="L243">
        <v>182131</v>
      </c>
      <c r="M243" t="str">
        <f>"PGTEFT2127          GL1017295"</f>
        <v>PGTEFT2127          GL1017295</v>
      </c>
      <c r="O243">
        <v>1</v>
      </c>
      <c r="S243">
        <f t="shared" si="2"/>
        <v>8021512324.5600004</v>
      </c>
    </row>
    <row r="244" spans="1:19" x14ac:dyDescent="0.25">
      <c r="A244">
        <v>8003879954</v>
      </c>
      <c r="B244">
        <v>13</v>
      </c>
      <c r="C244">
        <v>3032017</v>
      </c>
      <c r="D244">
        <v>60</v>
      </c>
      <c r="E244" t="s">
        <v>43</v>
      </c>
      <c r="F244">
        <v>9938</v>
      </c>
      <c r="G244" s="3">
        <v>14238717</v>
      </c>
      <c r="H244" s="1">
        <v>122</v>
      </c>
      <c r="I244" s="1" t="s">
        <v>28</v>
      </c>
      <c r="J244" s="1">
        <v>169747.56</v>
      </c>
      <c r="K244" t="s">
        <v>26</v>
      </c>
      <c r="L244">
        <v>182131</v>
      </c>
      <c r="M244" t="str">
        <f>"ANSURAN NO.2/2017 AKAUN KJAAN MSIA PU"</f>
        <v>ANSURAN NO.2/2017 AKAUN KJAAN MSIA PU</v>
      </c>
      <c r="O244">
        <v>1</v>
      </c>
      <c r="P244" t="str">
        <f>"PGTEFT2122"</f>
        <v>PGTEFT2122</v>
      </c>
      <c r="Q244" t="str">
        <f>"C285195105"</f>
        <v>C285195105</v>
      </c>
      <c r="S244">
        <f t="shared" si="2"/>
        <v>8021512700.5600004</v>
      </c>
    </row>
    <row r="245" spans="1:19" x14ac:dyDescent="0.25">
      <c r="A245">
        <v>8003879954</v>
      </c>
      <c r="B245">
        <v>12</v>
      </c>
      <c r="C245">
        <v>3032017</v>
      </c>
      <c r="D245">
        <v>60</v>
      </c>
      <c r="E245" t="s">
        <v>43</v>
      </c>
      <c r="F245">
        <v>9938</v>
      </c>
      <c r="G245" s="3">
        <v>14238400</v>
      </c>
      <c r="H245" s="1">
        <v>390</v>
      </c>
      <c r="I245" s="1" t="s">
        <v>28</v>
      </c>
      <c r="J245" s="1">
        <v>169869.56</v>
      </c>
      <c r="K245" t="s">
        <v>26</v>
      </c>
      <c r="L245">
        <v>182131</v>
      </c>
      <c r="M245" t="str">
        <f>"PAYROLL FOR FEB CORPORATENET ADVISO"</f>
        <v>PAYROLL FOR FEB CORPORATENET ADVISO</v>
      </c>
      <c r="O245">
        <v>1</v>
      </c>
      <c r="P245" t="str">
        <f>"PGTEFT2124"</f>
        <v>PGTEFT2124</v>
      </c>
      <c r="Q245" t="str">
        <f>"CA-17-0018"</f>
        <v>CA-17-0018</v>
      </c>
      <c r="S245">
        <f t="shared" si="2"/>
        <v>8021512772.5600004</v>
      </c>
    </row>
    <row r="246" spans="1:19" x14ac:dyDescent="0.25">
      <c r="A246">
        <v>8003879954</v>
      </c>
      <c r="B246">
        <v>11</v>
      </c>
      <c r="C246">
        <v>3032017</v>
      </c>
      <c r="D246">
        <v>341</v>
      </c>
      <c r="E246" t="s">
        <v>29</v>
      </c>
      <c r="F246">
        <v>9938</v>
      </c>
      <c r="G246" s="3">
        <v>14238514</v>
      </c>
      <c r="H246" s="1">
        <v>680</v>
      </c>
      <c r="I246" s="1" t="s">
        <v>28</v>
      </c>
      <c r="J246" s="1">
        <v>170259.56</v>
      </c>
      <c r="K246" t="s">
        <v>26</v>
      </c>
      <c r="L246">
        <v>182129</v>
      </c>
      <c r="M246" t="str">
        <f>"AB PRINTWORKS"</f>
        <v>AB PRINTWORKS</v>
      </c>
      <c r="O246">
        <v>1</v>
      </c>
      <c r="P246" t="str">
        <f>"PGTEFT2123"</f>
        <v>PGTEFT2123</v>
      </c>
      <c r="Q246" t="str">
        <f>"000286-0217"</f>
        <v>000286-0217</v>
      </c>
      <c r="S246">
        <f t="shared" si="2"/>
        <v>8021513844.5600004</v>
      </c>
    </row>
    <row r="247" spans="1:19" x14ac:dyDescent="0.25">
      <c r="A247">
        <v>8003879954</v>
      </c>
      <c r="B247">
        <v>10</v>
      </c>
      <c r="C247">
        <v>3032017</v>
      </c>
      <c r="D247">
        <v>299</v>
      </c>
      <c r="E247" t="s">
        <v>30</v>
      </c>
      <c r="F247">
        <v>9938</v>
      </c>
      <c r="G247" s="3">
        <v>14238514</v>
      </c>
      <c r="H247" s="1">
        <v>0.01</v>
      </c>
      <c r="I247" s="1" t="s">
        <v>28</v>
      </c>
      <c r="J247" s="1">
        <v>170939.56</v>
      </c>
      <c r="K247" t="s">
        <v>26</v>
      </c>
      <c r="L247">
        <v>182129</v>
      </c>
      <c r="M247" t="str">
        <f>"PGTEFT2123          000286-0217"</f>
        <v>PGTEFT2123          000286-0217</v>
      </c>
      <c r="O247">
        <v>1</v>
      </c>
      <c r="S247">
        <f t="shared" si="2"/>
        <v>8021513801.5700006</v>
      </c>
    </row>
    <row r="248" spans="1:19" x14ac:dyDescent="0.25">
      <c r="A248">
        <v>8003879954</v>
      </c>
      <c r="B248">
        <v>9</v>
      </c>
      <c r="C248">
        <v>3032017</v>
      </c>
      <c r="D248">
        <v>489</v>
      </c>
      <c r="E248" t="s">
        <v>31</v>
      </c>
      <c r="F248">
        <v>9938</v>
      </c>
      <c r="G248" s="3">
        <v>14238514</v>
      </c>
      <c r="H248" s="1">
        <v>0.1</v>
      </c>
      <c r="I248" s="1" t="s">
        <v>28</v>
      </c>
      <c r="J248" s="1">
        <v>170939.57</v>
      </c>
      <c r="K248" t="s">
        <v>26</v>
      </c>
      <c r="L248">
        <v>182129</v>
      </c>
      <c r="M248" t="str">
        <f>"PGTEFT2123          000286-0217"</f>
        <v>PGTEFT2123          000286-0217</v>
      </c>
      <c r="O248">
        <v>1</v>
      </c>
      <c r="S248">
        <f t="shared" si="2"/>
        <v>8021513990.6700001</v>
      </c>
    </row>
    <row r="249" spans="1:19" x14ac:dyDescent="0.25">
      <c r="A249">
        <v>8003879954</v>
      </c>
      <c r="B249">
        <v>8</v>
      </c>
      <c r="C249">
        <v>3032017</v>
      </c>
      <c r="D249">
        <v>341</v>
      </c>
      <c r="E249" t="s">
        <v>29</v>
      </c>
      <c r="F249">
        <v>9938</v>
      </c>
      <c r="G249" s="3">
        <v>14238318</v>
      </c>
      <c r="H249" s="1">
        <v>6400</v>
      </c>
      <c r="I249" s="1" t="s">
        <v>28</v>
      </c>
      <c r="J249" s="1">
        <v>170939.67</v>
      </c>
      <c r="K249" t="s">
        <v>26</v>
      </c>
      <c r="L249">
        <v>182129</v>
      </c>
      <c r="M249" t="str">
        <f>"DISCOVERY OVERLAND H"</f>
        <v>DISCOVERY OVERLAND H</v>
      </c>
      <c r="O249">
        <v>1</v>
      </c>
      <c r="P249" t="str">
        <f>"PGTEFT2125"</f>
        <v>PGTEFT2125</v>
      </c>
      <c r="Q249" t="str">
        <f>"729989"</f>
        <v>729989</v>
      </c>
      <c r="S249">
        <f t="shared" si="2"/>
        <v>8021520045.6700001</v>
      </c>
    </row>
    <row r="250" spans="1:19" x14ac:dyDescent="0.25">
      <c r="A250">
        <v>8003879954</v>
      </c>
      <c r="B250">
        <v>7</v>
      </c>
      <c r="C250">
        <v>3032017</v>
      </c>
      <c r="D250">
        <v>299</v>
      </c>
      <c r="E250" t="s">
        <v>30</v>
      </c>
      <c r="F250">
        <v>9938</v>
      </c>
      <c r="G250" s="3">
        <v>14238318</v>
      </c>
      <c r="H250" s="1">
        <v>0.01</v>
      </c>
      <c r="I250" s="1" t="s">
        <v>28</v>
      </c>
      <c r="J250" s="1">
        <v>177339.67</v>
      </c>
      <c r="K250" t="s">
        <v>26</v>
      </c>
      <c r="L250">
        <v>182129</v>
      </c>
      <c r="M250" t="str">
        <f>"PGTEFT2125          729989"</f>
        <v>PGTEFT2125          729989</v>
      </c>
      <c r="O250">
        <v>1</v>
      </c>
      <c r="S250">
        <f t="shared" ref="S250:S267" si="3">SUM(A250:R250)</f>
        <v>8021520002.6800003</v>
      </c>
    </row>
    <row r="251" spans="1:19" x14ac:dyDescent="0.25">
      <c r="A251">
        <v>8003879954</v>
      </c>
      <c r="B251">
        <v>6</v>
      </c>
      <c r="C251">
        <v>3032017</v>
      </c>
      <c r="D251">
        <v>489</v>
      </c>
      <c r="E251" t="s">
        <v>31</v>
      </c>
      <c r="F251">
        <v>9938</v>
      </c>
      <c r="G251" s="3">
        <v>14238318</v>
      </c>
      <c r="H251" s="1">
        <v>0.1</v>
      </c>
      <c r="I251" s="1" t="s">
        <v>28</v>
      </c>
      <c r="J251" s="1">
        <v>177339.68</v>
      </c>
      <c r="K251" t="s">
        <v>26</v>
      </c>
      <c r="L251">
        <v>182129</v>
      </c>
      <c r="M251" t="str">
        <f>"PGTEFT2125          729989"</f>
        <v>PGTEFT2125          729989</v>
      </c>
      <c r="O251">
        <v>1</v>
      </c>
      <c r="S251">
        <f t="shared" si="3"/>
        <v>8021520191.7800007</v>
      </c>
    </row>
    <row r="252" spans="1:19" x14ac:dyDescent="0.25">
      <c r="A252">
        <v>8003879954</v>
      </c>
      <c r="B252">
        <v>5</v>
      </c>
      <c r="C252">
        <v>3032017</v>
      </c>
      <c r="D252">
        <v>341</v>
      </c>
      <c r="E252" t="s">
        <v>29</v>
      </c>
      <c r="F252">
        <v>9938</v>
      </c>
      <c r="G252" s="3">
        <v>14239191</v>
      </c>
      <c r="H252" s="1">
        <v>180</v>
      </c>
      <c r="I252" s="1" t="s">
        <v>28</v>
      </c>
      <c r="J252" s="1">
        <v>177339.78</v>
      </c>
      <c r="K252" t="s">
        <v>26</v>
      </c>
      <c r="L252">
        <v>182129</v>
      </c>
      <c r="M252" t="str">
        <f>"LIANG CHOW MING"</f>
        <v>LIANG CHOW MING</v>
      </c>
      <c r="O252">
        <v>1</v>
      </c>
      <c r="P252" t="str">
        <f>"PGTEFT2126"</f>
        <v>PGTEFT2126</v>
      </c>
      <c r="Q252" t="str">
        <f>"INV19500"</f>
        <v>INV19500</v>
      </c>
      <c r="S252">
        <f t="shared" si="3"/>
        <v>8021521095.7799997</v>
      </c>
    </row>
    <row r="253" spans="1:19" x14ac:dyDescent="0.25">
      <c r="A253">
        <v>8003879954</v>
      </c>
      <c r="B253">
        <v>4</v>
      </c>
      <c r="C253">
        <v>3032017</v>
      </c>
      <c r="D253">
        <v>299</v>
      </c>
      <c r="E253" t="s">
        <v>30</v>
      </c>
      <c r="F253">
        <v>9938</v>
      </c>
      <c r="G253" s="3">
        <v>14239191</v>
      </c>
      <c r="H253" s="1">
        <v>0.01</v>
      </c>
      <c r="I253" s="1" t="s">
        <v>28</v>
      </c>
      <c r="J253" s="1">
        <v>177519.78</v>
      </c>
      <c r="K253" t="s">
        <v>26</v>
      </c>
      <c r="L253">
        <v>182129</v>
      </c>
      <c r="M253" t="str">
        <f>"PGTEFT2126          INV19500"</f>
        <v>PGTEFT2126          INV19500</v>
      </c>
      <c r="O253">
        <v>1</v>
      </c>
      <c r="S253">
        <f t="shared" si="3"/>
        <v>8021521052.79</v>
      </c>
    </row>
    <row r="254" spans="1:19" x14ac:dyDescent="0.25">
      <c r="A254">
        <v>8003879954</v>
      </c>
      <c r="B254">
        <v>3</v>
      </c>
      <c r="C254">
        <v>3032017</v>
      </c>
      <c r="D254">
        <v>489</v>
      </c>
      <c r="E254" t="s">
        <v>31</v>
      </c>
      <c r="F254">
        <v>9938</v>
      </c>
      <c r="G254" s="3">
        <v>14239191</v>
      </c>
      <c r="H254" s="1">
        <v>0.1</v>
      </c>
      <c r="I254" s="1" t="s">
        <v>28</v>
      </c>
      <c r="J254" s="1">
        <v>177519.79</v>
      </c>
      <c r="K254" t="s">
        <v>26</v>
      </c>
      <c r="L254">
        <v>182129</v>
      </c>
      <c r="M254" t="str">
        <f>"PGTEFT2126          INV19500"</f>
        <v>PGTEFT2126          INV19500</v>
      </c>
      <c r="O254">
        <v>1</v>
      </c>
      <c r="S254">
        <f t="shared" si="3"/>
        <v>8021521241.8900003</v>
      </c>
    </row>
    <row r="255" spans="1:19" x14ac:dyDescent="0.25">
      <c r="A255">
        <v>8003879954</v>
      </c>
      <c r="B255">
        <v>2</v>
      </c>
      <c r="C255">
        <v>3032017</v>
      </c>
      <c r="D255">
        <v>345</v>
      </c>
      <c r="E255" t="s">
        <v>27</v>
      </c>
      <c r="F255">
        <v>9938</v>
      </c>
      <c r="G255" s="3">
        <v>14237954</v>
      </c>
      <c r="H255" s="1">
        <v>101.75</v>
      </c>
      <c r="I255" s="1" t="s">
        <v>28</v>
      </c>
      <c r="J255" s="1">
        <v>177519.89</v>
      </c>
      <c r="K255" t="s">
        <v>26</v>
      </c>
      <c r="L255">
        <v>182129</v>
      </c>
      <c r="M255" t="str">
        <f>"MEETING WITH TM OOI CHOK YAN"</f>
        <v>MEETING WITH TM OOI CHOK YAN</v>
      </c>
      <c r="O255">
        <v>1</v>
      </c>
      <c r="P255" t="str">
        <f>"PGTEFT2128"</f>
        <v>PGTEFT2128</v>
      </c>
      <c r="Q255" t="str">
        <f>"CLAIMS"</f>
        <v>CLAIMS</v>
      </c>
      <c r="S255">
        <f t="shared" si="3"/>
        <v>8021519961.6400003</v>
      </c>
    </row>
    <row r="256" spans="1:19" x14ac:dyDescent="0.25">
      <c r="A256">
        <v>8003879954</v>
      </c>
      <c r="B256">
        <v>1</v>
      </c>
      <c r="C256">
        <v>3032017</v>
      </c>
      <c r="D256">
        <v>60</v>
      </c>
      <c r="E256" t="s">
        <v>43</v>
      </c>
      <c r="F256">
        <v>9938</v>
      </c>
      <c r="G256" s="3">
        <v>14237656</v>
      </c>
      <c r="H256" s="1">
        <v>7600</v>
      </c>
      <c r="I256" s="1" t="s">
        <v>28</v>
      </c>
      <c r="J256" s="1">
        <v>177621.64</v>
      </c>
      <c r="K256" t="s">
        <v>26</v>
      </c>
      <c r="L256">
        <v>182129</v>
      </c>
      <c r="M256" t="str">
        <f>"LED FOR FEB &amp; MAR PERFORMANCE PLUS MA"</f>
        <v>LED FOR FEB &amp; MAR PERFORMANCE PLUS MA</v>
      </c>
      <c r="O256">
        <v>1</v>
      </c>
      <c r="P256" t="str">
        <f>"PGTEFT2130"</f>
        <v>PGTEFT2130</v>
      </c>
      <c r="Q256" t="str">
        <f>"PPM17-02-01 PPM17-03"</f>
        <v>PPM17-02-01 PPM17-03</v>
      </c>
      <c r="S256">
        <f t="shared" si="3"/>
        <v>8021526977.6400003</v>
      </c>
    </row>
    <row r="257" spans="1:19" x14ac:dyDescent="0.25">
      <c r="A257">
        <v>8003879954</v>
      </c>
      <c r="B257">
        <v>11</v>
      </c>
      <c r="C257">
        <v>1032017</v>
      </c>
      <c r="D257">
        <v>123</v>
      </c>
      <c r="E257" t="s">
        <v>38</v>
      </c>
      <c r="F257">
        <v>2007</v>
      </c>
      <c r="G257" s="3">
        <v>2474829</v>
      </c>
      <c r="H257" s="1">
        <v>10428</v>
      </c>
      <c r="I257" s="1" t="s">
        <v>26</v>
      </c>
      <c r="J257" s="1">
        <v>185221.64</v>
      </c>
      <c r="K257" t="s">
        <v>26</v>
      </c>
      <c r="L257">
        <v>191401</v>
      </c>
      <c r="M257" t="str">
        <f>""</f>
        <v/>
      </c>
      <c r="O257">
        <v>1</v>
      </c>
      <c r="S257">
        <f t="shared" si="3"/>
        <v>8007775992.6400003</v>
      </c>
    </row>
    <row r="258" spans="1:19" x14ac:dyDescent="0.25">
      <c r="A258">
        <v>8003879954</v>
      </c>
      <c r="B258">
        <v>10</v>
      </c>
      <c r="C258">
        <v>1032017</v>
      </c>
      <c r="D258">
        <v>345</v>
      </c>
      <c r="E258" t="s">
        <v>27</v>
      </c>
      <c r="F258">
        <v>9938</v>
      </c>
      <c r="G258" s="3">
        <v>14114794</v>
      </c>
      <c r="H258" s="2">
        <v>900</v>
      </c>
      <c r="I258" s="1" t="s">
        <v>28</v>
      </c>
      <c r="J258" s="1">
        <v>174793.64</v>
      </c>
      <c r="K258" t="s">
        <v>26</v>
      </c>
      <c r="L258">
        <v>144745</v>
      </c>
      <c r="M258" t="str">
        <f>"SIM KOK JIUN"</f>
        <v>SIM KOK JIUN</v>
      </c>
      <c r="N258" t="s">
        <v>45</v>
      </c>
      <c r="O258">
        <v>1</v>
      </c>
      <c r="P258" t="str">
        <f>"PGTEFT2119"</f>
        <v>PGTEFT2119</v>
      </c>
      <c r="Q258" t="str">
        <f>"RELA ALLOWANCE"</f>
        <v>RELA ALLOWANCE</v>
      </c>
      <c r="S258">
        <f t="shared" si="3"/>
        <v>8019357497.6400003</v>
      </c>
    </row>
    <row r="259" spans="1:19" x14ac:dyDescent="0.25">
      <c r="A259">
        <v>8003879954</v>
      </c>
      <c r="B259">
        <v>9</v>
      </c>
      <c r="C259">
        <v>1032017</v>
      </c>
      <c r="D259">
        <v>345</v>
      </c>
      <c r="E259" t="s">
        <v>27</v>
      </c>
      <c r="F259">
        <v>9938</v>
      </c>
      <c r="G259" s="3">
        <v>14115108</v>
      </c>
      <c r="H259" s="2">
        <v>350</v>
      </c>
      <c r="I259" s="1" t="s">
        <v>28</v>
      </c>
      <c r="J259" s="1">
        <v>175693.64</v>
      </c>
      <c r="K259" t="s">
        <v>26</v>
      </c>
      <c r="L259">
        <v>144745</v>
      </c>
      <c r="M259" t="str">
        <f>"FEB NUR NASYHA IZZATY B"</f>
        <v>FEB NUR NASYHA IZZATY B</v>
      </c>
      <c r="N259" t="s">
        <v>45</v>
      </c>
      <c r="O259">
        <v>1</v>
      </c>
      <c r="P259" t="str">
        <f>"PGTEFT2120"</f>
        <v>PGTEFT2120</v>
      </c>
      <c r="Q259" t="str">
        <f>"TRAINEE ALLOWANCE"</f>
        <v>TRAINEE ALLOWANCE</v>
      </c>
      <c r="S259">
        <f t="shared" si="3"/>
        <v>8019358160.6400003</v>
      </c>
    </row>
    <row r="260" spans="1:19" x14ac:dyDescent="0.25">
      <c r="A260">
        <v>8003879954</v>
      </c>
      <c r="B260">
        <v>8</v>
      </c>
      <c r="C260">
        <v>1032017</v>
      </c>
      <c r="D260">
        <v>341</v>
      </c>
      <c r="E260" t="s">
        <v>29</v>
      </c>
      <c r="F260">
        <v>9938</v>
      </c>
      <c r="G260" s="3">
        <v>14114315</v>
      </c>
      <c r="H260" s="2">
        <v>362.09</v>
      </c>
      <c r="I260" s="1" t="s">
        <v>28</v>
      </c>
      <c r="J260" s="1">
        <v>176043.64</v>
      </c>
      <c r="K260" t="s">
        <v>26</v>
      </c>
      <c r="L260">
        <v>144743</v>
      </c>
      <c r="M260" t="str">
        <f>"AKAUN PUNGUTAN POTON"</f>
        <v>AKAUN PUNGUTAN POTON</v>
      </c>
      <c r="N260" t="s">
        <v>45</v>
      </c>
      <c r="O260">
        <v>1</v>
      </c>
      <c r="P260" t="str">
        <f>"PGTEFT2116"</f>
        <v>PGTEFT2116</v>
      </c>
      <c r="Q260" t="str">
        <f>"BAYARAN PTPTN"</f>
        <v>BAYARAN PTPTN</v>
      </c>
      <c r="S260">
        <f t="shared" si="3"/>
        <v>8019357722.7300005</v>
      </c>
    </row>
    <row r="261" spans="1:19" x14ac:dyDescent="0.25">
      <c r="A261">
        <v>8003879954</v>
      </c>
      <c r="B261">
        <v>7</v>
      </c>
      <c r="C261">
        <v>1032017</v>
      </c>
      <c r="D261">
        <v>299</v>
      </c>
      <c r="E261" t="s">
        <v>30</v>
      </c>
      <c r="F261">
        <v>9938</v>
      </c>
      <c r="G261" s="3">
        <v>14114315</v>
      </c>
      <c r="H261" s="1">
        <v>0.01</v>
      </c>
      <c r="I261" s="1" t="s">
        <v>28</v>
      </c>
      <c r="J261" s="1">
        <v>176405.73</v>
      </c>
      <c r="K261" t="s">
        <v>26</v>
      </c>
      <c r="L261">
        <v>144743</v>
      </c>
      <c r="M261" t="str">
        <f>"PGTEFT2116          BAYARAN PTPTN"</f>
        <v>PGTEFT2116          BAYARAN PTPTN</v>
      </c>
      <c r="O261">
        <v>1</v>
      </c>
      <c r="S261">
        <f t="shared" si="3"/>
        <v>8019357679.7399998</v>
      </c>
    </row>
    <row r="262" spans="1:19" x14ac:dyDescent="0.25">
      <c r="A262">
        <v>8003879954</v>
      </c>
      <c r="B262">
        <v>6</v>
      </c>
      <c r="C262">
        <v>1032017</v>
      </c>
      <c r="D262">
        <v>489</v>
      </c>
      <c r="E262" t="s">
        <v>31</v>
      </c>
      <c r="F262">
        <v>9938</v>
      </c>
      <c r="G262" s="3">
        <v>14114315</v>
      </c>
      <c r="H262" s="1">
        <v>0.1</v>
      </c>
      <c r="I262" s="1" t="s">
        <v>28</v>
      </c>
      <c r="J262" s="1">
        <v>176405.74</v>
      </c>
      <c r="K262" t="s">
        <v>26</v>
      </c>
      <c r="L262">
        <v>144743</v>
      </c>
      <c r="M262" t="str">
        <f>"PGTEFT2116          BAYARAN PTPTN"</f>
        <v>PGTEFT2116          BAYARAN PTPTN</v>
      </c>
      <c r="O262">
        <v>1</v>
      </c>
      <c r="S262">
        <f t="shared" si="3"/>
        <v>8019357868.8400002</v>
      </c>
    </row>
    <row r="263" spans="1:19" x14ac:dyDescent="0.25">
      <c r="A263">
        <v>8003879954</v>
      </c>
      <c r="B263">
        <v>5</v>
      </c>
      <c r="C263">
        <v>1032017</v>
      </c>
      <c r="D263">
        <v>345</v>
      </c>
      <c r="E263" t="s">
        <v>27</v>
      </c>
      <c r="F263">
        <v>9938</v>
      </c>
      <c r="G263" s="3">
        <v>14114917</v>
      </c>
      <c r="H263" s="2">
        <v>8154.82</v>
      </c>
      <c r="I263" s="1" t="s">
        <v>28</v>
      </c>
      <c r="J263" s="1">
        <v>176405.84</v>
      </c>
      <c r="K263" t="s">
        <v>26</v>
      </c>
      <c r="L263">
        <v>144742</v>
      </c>
      <c r="M263" t="str">
        <f>"ITB BERLIN YOON PAULINE"</f>
        <v>ITB BERLIN YOON PAULINE</v>
      </c>
      <c r="N263" t="s">
        <v>45</v>
      </c>
      <c r="O263">
        <v>1</v>
      </c>
      <c r="P263" t="str">
        <f>"PGTEFT2119"</f>
        <v>PGTEFT2119</v>
      </c>
      <c r="Q263" t="str">
        <f>"ADVANCE"</f>
        <v>ADVANCE</v>
      </c>
      <c r="S263">
        <f t="shared" si="3"/>
        <v>8019366479.6599998</v>
      </c>
    </row>
    <row r="264" spans="1:19" x14ac:dyDescent="0.25">
      <c r="A264">
        <v>8003879954</v>
      </c>
      <c r="B264">
        <v>4</v>
      </c>
      <c r="C264">
        <v>1032017</v>
      </c>
      <c r="D264">
        <v>345</v>
      </c>
      <c r="E264" t="s">
        <v>27</v>
      </c>
      <c r="F264">
        <v>9938</v>
      </c>
      <c r="G264" s="3">
        <v>14115251</v>
      </c>
      <c r="H264" s="2">
        <v>350</v>
      </c>
      <c r="I264" s="1" t="s">
        <v>28</v>
      </c>
      <c r="J264" s="1">
        <v>184560.66</v>
      </c>
      <c r="K264" t="s">
        <v>26</v>
      </c>
      <c r="L264">
        <v>144742</v>
      </c>
      <c r="M264" t="str">
        <f>"FEB CHEW PEI YING"</f>
        <v>FEB CHEW PEI YING</v>
      </c>
      <c r="N264" t="s">
        <v>45</v>
      </c>
      <c r="O264">
        <v>1</v>
      </c>
      <c r="P264" t="str">
        <f>"PGTEFT2121"</f>
        <v>PGTEFT2121</v>
      </c>
      <c r="Q264" t="str">
        <f>"TRAINEE ALLOWANCE"</f>
        <v>TRAINEE ALLOWANCE</v>
      </c>
      <c r="S264">
        <f t="shared" si="3"/>
        <v>8019367162.6599998</v>
      </c>
    </row>
    <row r="265" spans="1:19" x14ac:dyDescent="0.25">
      <c r="A265">
        <v>8003879954</v>
      </c>
      <c r="B265">
        <v>3</v>
      </c>
      <c r="C265">
        <v>1032017</v>
      </c>
      <c r="D265">
        <v>341</v>
      </c>
      <c r="E265" t="s">
        <v>29</v>
      </c>
      <c r="F265">
        <v>9938</v>
      </c>
      <c r="G265" s="3">
        <v>14114532</v>
      </c>
      <c r="H265" s="2">
        <v>850</v>
      </c>
      <c r="I265" s="1" t="s">
        <v>28</v>
      </c>
      <c r="J265" s="1">
        <v>184910.66</v>
      </c>
      <c r="K265" t="s">
        <v>26</v>
      </c>
      <c r="L265">
        <v>144741</v>
      </c>
      <c r="M265" t="str">
        <f>"JAYKODI RESOURCES"</f>
        <v>JAYKODI RESOURCES</v>
      </c>
      <c r="N265" t="s">
        <v>45</v>
      </c>
      <c r="O265">
        <v>1</v>
      </c>
      <c r="P265" t="str">
        <f>"PGTEFT2117"</f>
        <v>PGTEFT2117</v>
      </c>
      <c r="Q265" t="str">
        <f>"CLEANING SERVICE"</f>
        <v>CLEANING SERVICE</v>
      </c>
      <c r="S265">
        <f t="shared" si="3"/>
        <v>8019367287.6599998</v>
      </c>
    </row>
    <row r="266" spans="1:19" x14ac:dyDescent="0.25">
      <c r="A266">
        <v>8003879954</v>
      </c>
      <c r="B266">
        <v>2</v>
      </c>
      <c r="C266">
        <v>1032017</v>
      </c>
      <c r="D266">
        <v>299</v>
      </c>
      <c r="E266" t="s">
        <v>30</v>
      </c>
      <c r="F266">
        <v>9938</v>
      </c>
      <c r="G266" s="3">
        <v>14114532</v>
      </c>
      <c r="H266" s="1">
        <v>0.01</v>
      </c>
      <c r="I266" s="1" t="s">
        <v>28</v>
      </c>
      <c r="J266" s="1">
        <v>185760.66</v>
      </c>
      <c r="K266" t="s">
        <v>26</v>
      </c>
      <c r="L266">
        <v>144741</v>
      </c>
      <c r="M266" t="str">
        <f>"PGTEFT2117          CLEANING SERVICE"</f>
        <v>PGTEFT2117          CLEANING SERVICE</v>
      </c>
      <c r="O266">
        <v>1</v>
      </c>
      <c r="S266">
        <f t="shared" si="3"/>
        <v>8019367244.6700001</v>
      </c>
    </row>
    <row r="267" spans="1:19" x14ac:dyDescent="0.25">
      <c r="A267">
        <v>8003879954</v>
      </c>
      <c r="B267">
        <v>1</v>
      </c>
      <c r="C267">
        <v>1032017</v>
      </c>
      <c r="D267">
        <v>489</v>
      </c>
      <c r="E267" t="s">
        <v>31</v>
      </c>
      <c r="F267">
        <v>9938</v>
      </c>
      <c r="G267" s="3">
        <v>14114532</v>
      </c>
      <c r="H267" s="1">
        <v>0.1</v>
      </c>
      <c r="I267" s="1" t="s">
        <v>28</v>
      </c>
      <c r="J267" s="1">
        <v>185760.67</v>
      </c>
      <c r="K267" t="s">
        <v>26</v>
      </c>
      <c r="L267">
        <v>144741</v>
      </c>
      <c r="M267" t="str">
        <f>"PGTEFT2117          CLEANING SERVICE"</f>
        <v>PGTEFT2117          CLEANING SERVICE</v>
      </c>
      <c r="O267">
        <v>1</v>
      </c>
      <c r="S267">
        <f t="shared" si="3"/>
        <v>8019367433.7700005</v>
      </c>
    </row>
    <row r="270" spans="1:19" x14ac:dyDescent="0.25">
      <c r="H270" s="1">
        <f>SUBTOTAL(9,H10:H269)</f>
        <v>6515878.7899999851</v>
      </c>
    </row>
  </sheetData>
  <autoFilter ref="A7:R267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6"/>
  <sheetViews>
    <sheetView tabSelected="1" topLeftCell="A10" workbookViewId="0">
      <selection activeCell="E23" sqref="E23"/>
    </sheetView>
  </sheetViews>
  <sheetFormatPr defaultRowHeight="15" x14ac:dyDescent="0.25"/>
  <cols>
    <col min="1" max="1" width="14.5703125" style="15" customWidth="1"/>
    <col min="2" max="2" width="8.5703125" style="15" customWidth="1"/>
    <col min="3" max="3" width="12.140625" style="15" customWidth="1"/>
    <col min="4" max="4" width="14.140625" style="15" customWidth="1"/>
    <col min="5" max="5" width="29.5703125" style="15" bestFit="1" customWidth="1"/>
    <col min="6" max="6" width="15.7109375" style="15" customWidth="1"/>
    <col min="7" max="7" width="15.42578125" style="15" customWidth="1"/>
    <col min="8" max="8" width="18.85546875" style="14" customWidth="1"/>
    <col min="9" max="9" width="16.42578125" style="15" customWidth="1"/>
    <col min="10" max="10" width="12.28515625" style="14" customWidth="1"/>
    <col min="11" max="11" width="14.85546875" style="15" bestFit="1" customWidth="1"/>
    <col min="12" max="12" width="18.42578125" style="15" bestFit="1" customWidth="1"/>
    <col min="13" max="13" width="41" style="15" bestFit="1" customWidth="1"/>
    <col min="14" max="14" width="7.85546875" style="15" bestFit="1" customWidth="1"/>
    <col min="15" max="15" width="14.140625" style="15" bestFit="1" customWidth="1"/>
    <col min="16" max="16" width="21.5703125" style="15" bestFit="1" customWidth="1"/>
    <col min="17" max="17" width="23.7109375" style="15" bestFit="1" customWidth="1"/>
    <col min="18" max="16384" width="9.140625" style="15"/>
  </cols>
  <sheetData>
    <row r="1" spans="1:18" x14ac:dyDescent="0.25">
      <c r="A1" s="15" t="s">
        <v>0</v>
      </c>
    </row>
    <row r="2" spans="1:18" x14ac:dyDescent="0.25">
      <c r="A2" s="15" t="s">
        <v>1</v>
      </c>
      <c r="B2" s="15" t="s">
        <v>2</v>
      </c>
    </row>
    <row r="3" spans="1:18" x14ac:dyDescent="0.25">
      <c r="A3" s="15" t="s">
        <v>3</v>
      </c>
    </row>
    <row r="4" spans="1:18" x14ac:dyDescent="0.25">
      <c r="A4" s="15" t="s">
        <v>1329</v>
      </c>
    </row>
    <row r="5" spans="1:18" x14ac:dyDescent="0.25">
      <c r="A5" s="15" t="s">
        <v>1330</v>
      </c>
    </row>
    <row r="6" spans="1:18" x14ac:dyDescent="0.25">
      <c r="A6" s="15" t="s">
        <v>1331</v>
      </c>
    </row>
    <row r="9" spans="1:18" s="17" customFormat="1" ht="39" customHeight="1" x14ac:dyDescent="0.25">
      <c r="A9" s="17" t="s">
        <v>7</v>
      </c>
      <c r="B9" s="17" t="s">
        <v>8</v>
      </c>
      <c r="C9" s="17" t="s">
        <v>9</v>
      </c>
      <c r="D9" s="17" t="s">
        <v>10</v>
      </c>
      <c r="E9" s="17" t="s">
        <v>11</v>
      </c>
      <c r="F9" s="17" t="s">
        <v>12</v>
      </c>
      <c r="G9" s="17" t="s">
        <v>13</v>
      </c>
      <c r="H9" s="16" t="s">
        <v>14</v>
      </c>
      <c r="I9" s="17" t="s">
        <v>15</v>
      </c>
      <c r="J9" s="16" t="s">
        <v>16</v>
      </c>
      <c r="K9" s="17" t="s">
        <v>17</v>
      </c>
      <c r="L9" s="17" t="s">
        <v>18</v>
      </c>
      <c r="M9" s="17" t="s">
        <v>19</v>
      </c>
      <c r="N9" s="17" t="s">
        <v>20</v>
      </c>
      <c r="O9" s="17" t="s">
        <v>21</v>
      </c>
      <c r="P9" s="17" t="s">
        <v>22</v>
      </c>
      <c r="Q9" s="17" t="s">
        <v>23</v>
      </c>
      <c r="R9" s="17" t="s">
        <v>24</v>
      </c>
    </row>
    <row r="11" spans="1:18" x14ac:dyDescent="0.25">
      <c r="A11" s="18">
        <v>8003879954</v>
      </c>
      <c r="B11" s="18">
        <v>6</v>
      </c>
      <c r="C11" s="18">
        <v>30122017</v>
      </c>
      <c r="D11" s="18">
        <v>341</v>
      </c>
      <c r="E11" s="18" t="s">
        <v>29</v>
      </c>
      <c r="F11" s="18">
        <v>9938</v>
      </c>
      <c r="G11" s="18" t="s">
        <v>1382</v>
      </c>
      <c r="H11" s="19">
        <v>362.09</v>
      </c>
      <c r="I11" s="18" t="s">
        <v>28</v>
      </c>
      <c r="J11" s="18">
        <v>42660.49</v>
      </c>
      <c r="K11" s="18" t="s">
        <v>26</v>
      </c>
      <c r="L11" s="18">
        <v>81522</v>
      </c>
      <c r="M11" s="18" t="s">
        <v>353</v>
      </c>
      <c r="N11" s="18"/>
      <c r="O11" s="18">
        <v>1</v>
      </c>
      <c r="P11" s="18" t="s">
        <v>1383</v>
      </c>
      <c r="Q11" s="18" t="s">
        <v>355</v>
      </c>
      <c r="R11" s="18"/>
    </row>
    <row r="12" spans="1:18" x14ac:dyDescent="0.25">
      <c r="A12" s="18">
        <v>8003879954</v>
      </c>
      <c r="B12" s="18">
        <v>5</v>
      </c>
      <c r="C12" s="18">
        <v>30122017</v>
      </c>
      <c r="D12" s="18">
        <v>299</v>
      </c>
      <c r="E12" s="18" t="s">
        <v>30</v>
      </c>
      <c r="F12" s="18">
        <v>9938</v>
      </c>
      <c r="G12" s="18" t="s">
        <v>1382</v>
      </c>
      <c r="H12" s="19">
        <v>0.01</v>
      </c>
      <c r="I12" s="18" t="s">
        <v>28</v>
      </c>
      <c r="J12" s="18">
        <v>43022.58</v>
      </c>
      <c r="K12" s="18" t="s">
        <v>26</v>
      </c>
      <c r="L12" s="18">
        <v>81522</v>
      </c>
      <c r="M12" s="18" t="s">
        <v>1384</v>
      </c>
      <c r="N12" s="18"/>
      <c r="O12" s="18">
        <v>1</v>
      </c>
      <c r="P12" s="18"/>
      <c r="Q12" s="18"/>
      <c r="R12" s="18"/>
    </row>
    <row r="13" spans="1:18" x14ac:dyDescent="0.25">
      <c r="A13" s="18">
        <v>8003879954</v>
      </c>
      <c r="B13" s="18">
        <v>4</v>
      </c>
      <c r="C13" s="18">
        <v>30122017</v>
      </c>
      <c r="D13" s="18">
        <v>489</v>
      </c>
      <c r="E13" s="18" t="s">
        <v>31</v>
      </c>
      <c r="F13" s="18">
        <v>9938</v>
      </c>
      <c r="G13" s="18" t="s">
        <v>1382</v>
      </c>
      <c r="H13" s="19">
        <v>0.1</v>
      </c>
      <c r="I13" s="18" t="s">
        <v>28</v>
      </c>
      <c r="J13" s="18">
        <v>43022.59</v>
      </c>
      <c r="K13" s="18" t="s">
        <v>26</v>
      </c>
      <c r="L13" s="18">
        <v>81522</v>
      </c>
      <c r="M13" s="18" t="s">
        <v>1384</v>
      </c>
      <c r="N13" s="18"/>
      <c r="O13" s="18">
        <v>1</v>
      </c>
      <c r="P13" s="18"/>
      <c r="Q13" s="18"/>
      <c r="R13" s="18"/>
    </row>
    <row r="14" spans="1:18" x14ac:dyDescent="0.25">
      <c r="A14" s="18">
        <v>8003879954</v>
      </c>
      <c r="B14" s="18">
        <v>3</v>
      </c>
      <c r="C14" s="18">
        <v>30122017</v>
      </c>
      <c r="D14" s="18">
        <v>299</v>
      </c>
      <c r="E14" s="18" t="s">
        <v>30</v>
      </c>
      <c r="F14" s="18">
        <v>3471</v>
      </c>
      <c r="G14" s="18" t="s">
        <v>1385</v>
      </c>
      <c r="H14" s="19">
        <v>2.16</v>
      </c>
      <c r="I14" s="18" t="s">
        <v>28</v>
      </c>
      <c r="J14" s="18">
        <v>43022.69</v>
      </c>
      <c r="K14" s="18" t="s">
        <v>26</v>
      </c>
      <c r="L14" s="18">
        <v>51510</v>
      </c>
      <c r="M14" s="18" t="s">
        <v>53</v>
      </c>
      <c r="N14" s="18"/>
      <c r="O14" s="18">
        <v>1</v>
      </c>
      <c r="P14" s="18"/>
      <c r="Q14" s="18"/>
      <c r="R14" s="18"/>
    </row>
    <row r="15" spans="1:18" x14ac:dyDescent="0.25">
      <c r="A15" s="18">
        <v>8003879954</v>
      </c>
      <c r="B15" s="18">
        <v>2</v>
      </c>
      <c r="C15" s="18">
        <v>30122017</v>
      </c>
      <c r="D15" s="18">
        <v>489</v>
      </c>
      <c r="E15" s="18" t="s">
        <v>1477</v>
      </c>
      <c r="F15" s="18">
        <v>3471</v>
      </c>
      <c r="G15" s="18" t="s">
        <v>1385</v>
      </c>
      <c r="H15" s="19">
        <v>36</v>
      </c>
      <c r="I15" s="18" t="s">
        <v>28</v>
      </c>
      <c r="J15" s="18">
        <v>43024.85</v>
      </c>
      <c r="K15" s="18" t="s">
        <v>26</v>
      </c>
      <c r="L15" s="18">
        <v>51510</v>
      </c>
      <c r="M15" s="18" t="s">
        <v>53</v>
      </c>
      <c r="N15" s="18"/>
      <c r="O15" s="18">
        <v>1</v>
      </c>
      <c r="P15" s="18"/>
      <c r="Q15" s="18"/>
      <c r="R15" s="18"/>
    </row>
    <row r="16" spans="1:18" x14ac:dyDescent="0.25">
      <c r="A16" s="18">
        <v>8003879954</v>
      </c>
      <c r="B16" s="18">
        <v>1</v>
      </c>
      <c r="C16" s="18">
        <v>30122017</v>
      </c>
      <c r="D16" s="18">
        <v>669</v>
      </c>
      <c r="E16" s="18" t="s">
        <v>51</v>
      </c>
      <c r="F16" s="18">
        <v>3471</v>
      </c>
      <c r="G16" s="18" t="s">
        <v>1386</v>
      </c>
      <c r="H16" s="19">
        <v>84671.49</v>
      </c>
      <c r="I16" s="18" t="s">
        <v>28</v>
      </c>
      <c r="J16" s="18">
        <v>43060.85</v>
      </c>
      <c r="K16" s="18" t="s">
        <v>26</v>
      </c>
      <c r="L16" s="18">
        <v>45553</v>
      </c>
      <c r="M16" s="18" t="s">
        <v>1387</v>
      </c>
      <c r="N16" s="18"/>
      <c r="O16" s="18">
        <v>1</v>
      </c>
      <c r="P16" s="18" t="s">
        <v>1388</v>
      </c>
      <c r="Q16" s="18"/>
      <c r="R16" s="18" t="s">
        <v>1381</v>
      </c>
    </row>
    <row r="17" spans="1:18" x14ac:dyDescent="0.25">
      <c r="A17" s="18">
        <v>8003879954</v>
      </c>
      <c r="B17" s="18">
        <v>59</v>
      </c>
      <c r="C17" s="18">
        <v>27122017</v>
      </c>
      <c r="D17" s="18">
        <v>299</v>
      </c>
      <c r="E17" s="18" t="s">
        <v>30</v>
      </c>
      <c r="F17" s="18"/>
      <c r="G17" s="18"/>
      <c r="H17" s="19">
        <v>0.03</v>
      </c>
      <c r="I17" s="18" t="s">
        <v>28</v>
      </c>
      <c r="J17" s="18">
        <v>127732.34</v>
      </c>
      <c r="K17" s="18" t="s">
        <v>26</v>
      </c>
      <c r="L17" s="18">
        <v>5440</v>
      </c>
      <c r="M17" s="18" t="s">
        <v>53</v>
      </c>
      <c r="N17" s="18"/>
      <c r="O17" s="18">
        <v>1</v>
      </c>
      <c r="P17" s="18"/>
      <c r="Q17" s="18"/>
      <c r="R17" s="18"/>
    </row>
    <row r="18" spans="1:18" x14ac:dyDescent="0.25">
      <c r="A18" s="18">
        <v>8003879954</v>
      </c>
      <c r="B18" s="18">
        <v>58</v>
      </c>
      <c r="C18" s="18">
        <v>27122017</v>
      </c>
      <c r="D18" s="18">
        <v>819</v>
      </c>
      <c r="E18" s="18" t="s">
        <v>32</v>
      </c>
      <c r="F18" s="18"/>
      <c r="G18" s="18"/>
      <c r="H18" s="19">
        <v>0.5</v>
      </c>
      <c r="I18" s="18" t="s">
        <v>28</v>
      </c>
      <c r="J18" s="18">
        <v>127732.37</v>
      </c>
      <c r="K18" s="18" t="s">
        <v>26</v>
      </c>
      <c r="L18" s="18">
        <v>5440</v>
      </c>
      <c r="M18" s="18" t="s">
        <v>53</v>
      </c>
      <c r="N18" s="18"/>
      <c r="O18" s="18">
        <v>1</v>
      </c>
      <c r="P18" s="18"/>
      <c r="Q18" s="18"/>
      <c r="R18" s="18"/>
    </row>
    <row r="19" spans="1:18" x14ac:dyDescent="0.25">
      <c r="A19" s="18">
        <v>8003879954</v>
      </c>
      <c r="B19" s="18">
        <v>57</v>
      </c>
      <c r="C19" s="18">
        <v>27122017</v>
      </c>
      <c r="D19" s="18">
        <v>321</v>
      </c>
      <c r="E19" s="18" t="s">
        <v>37</v>
      </c>
      <c r="F19" s="18">
        <v>0</v>
      </c>
      <c r="G19" s="18" t="s">
        <v>1389</v>
      </c>
      <c r="H19" s="19">
        <v>11723.88</v>
      </c>
      <c r="I19" s="18" t="s">
        <v>28</v>
      </c>
      <c r="J19" s="18">
        <v>127732.87</v>
      </c>
      <c r="K19" s="18" t="s">
        <v>26</v>
      </c>
      <c r="L19" s="18">
        <v>5347</v>
      </c>
      <c r="M19" s="18" t="s">
        <v>53</v>
      </c>
      <c r="N19" s="18"/>
      <c r="O19" s="18">
        <v>1</v>
      </c>
      <c r="P19" s="18"/>
      <c r="Q19" s="18"/>
      <c r="R19" s="18"/>
    </row>
    <row r="20" spans="1:18" x14ac:dyDescent="0.25">
      <c r="A20" s="18">
        <v>8003879954</v>
      </c>
      <c r="B20" s="18">
        <v>56</v>
      </c>
      <c r="C20" s="18">
        <v>27122017</v>
      </c>
      <c r="D20" s="18">
        <v>341</v>
      </c>
      <c r="E20" s="18" t="s">
        <v>29</v>
      </c>
      <c r="F20" s="18">
        <v>9938</v>
      </c>
      <c r="G20" s="18" t="s">
        <v>1390</v>
      </c>
      <c r="H20" s="19">
        <v>4918.3999999999996</v>
      </c>
      <c r="I20" s="18" t="s">
        <v>28</v>
      </c>
      <c r="J20" s="18">
        <v>139456.75</v>
      </c>
      <c r="K20" s="18" t="s">
        <v>26</v>
      </c>
      <c r="L20" s="18">
        <v>183324</v>
      </c>
      <c r="M20" s="18" t="s">
        <v>1391</v>
      </c>
      <c r="N20" s="18"/>
      <c r="O20" s="18">
        <v>1</v>
      </c>
      <c r="P20" s="18" t="s">
        <v>1392</v>
      </c>
      <c r="Q20" s="18" t="s">
        <v>1393</v>
      </c>
    </row>
    <row r="21" spans="1:18" x14ac:dyDescent="0.25">
      <c r="A21" s="18">
        <v>8003879954</v>
      </c>
      <c r="B21" s="18">
        <v>55</v>
      </c>
      <c r="C21" s="18">
        <v>27122017</v>
      </c>
      <c r="D21" s="18">
        <v>299</v>
      </c>
      <c r="E21" s="18" t="s">
        <v>30</v>
      </c>
      <c r="F21" s="18">
        <v>9938</v>
      </c>
      <c r="G21" s="18" t="s">
        <v>1390</v>
      </c>
      <c r="H21" s="19">
        <v>0.01</v>
      </c>
      <c r="I21" s="18" t="s">
        <v>28</v>
      </c>
      <c r="J21" s="18">
        <v>144375.15</v>
      </c>
      <c r="K21" s="18" t="s">
        <v>26</v>
      </c>
      <c r="L21" s="18">
        <v>183324</v>
      </c>
      <c r="M21" s="18" t="s">
        <v>1394</v>
      </c>
      <c r="N21" s="18"/>
      <c r="O21" s="18">
        <v>1</v>
      </c>
      <c r="P21" s="18"/>
      <c r="Q21" s="18"/>
    </row>
    <row r="22" spans="1:18" x14ac:dyDescent="0.25">
      <c r="A22" s="18">
        <v>8003879954</v>
      </c>
      <c r="B22" s="18">
        <v>54</v>
      </c>
      <c r="C22" s="18">
        <v>27122017</v>
      </c>
      <c r="D22" s="18">
        <v>489</v>
      </c>
      <c r="E22" s="18" t="s">
        <v>31</v>
      </c>
      <c r="F22" s="18">
        <v>9938</v>
      </c>
      <c r="G22" s="18" t="s">
        <v>1390</v>
      </c>
      <c r="H22" s="19">
        <v>0.1</v>
      </c>
      <c r="I22" s="18" t="s">
        <v>28</v>
      </c>
      <c r="J22" s="18">
        <v>144375.16</v>
      </c>
      <c r="K22" s="18" t="s">
        <v>26</v>
      </c>
      <c r="L22" s="18">
        <v>183324</v>
      </c>
      <c r="M22" s="18" t="s">
        <v>1394</v>
      </c>
      <c r="N22" s="18"/>
      <c r="O22" s="18">
        <v>1</v>
      </c>
      <c r="P22" s="18"/>
      <c r="Q22" s="18"/>
    </row>
    <row r="23" spans="1:18" x14ac:dyDescent="0.25">
      <c r="A23" s="18">
        <v>8003879954</v>
      </c>
      <c r="B23" s="18">
        <v>53</v>
      </c>
      <c r="C23" s="18">
        <v>27122017</v>
      </c>
      <c r="D23" s="18">
        <v>60</v>
      </c>
      <c r="E23" s="18" t="s">
        <v>43</v>
      </c>
      <c r="F23" s="18">
        <v>9938</v>
      </c>
      <c r="G23" s="18" t="s">
        <v>1395</v>
      </c>
      <c r="H23" s="19">
        <v>3800</v>
      </c>
      <c r="I23" s="18" t="s">
        <v>28</v>
      </c>
      <c r="J23" s="18">
        <v>144375.26</v>
      </c>
      <c r="K23" s="18" t="s">
        <v>26</v>
      </c>
      <c r="L23" s="18">
        <v>183323</v>
      </c>
      <c r="M23" s="18" t="s">
        <v>1396</v>
      </c>
      <c r="N23" s="18"/>
      <c r="O23" s="18">
        <v>1</v>
      </c>
      <c r="P23" s="18" t="s">
        <v>1397</v>
      </c>
      <c r="Q23" s="18" t="s">
        <v>1398</v>
      </c>
    </row>
    <row r="24" spans="1:18" x14ac:dyDescent="0.25">
      <c r="A24" s="18">
        <v>8003879954</v>
      </c>
      <c r="B24" s="18">
        <v>52</v>
      </c>
      <c r="C24" s="18">
        <v>27122017</v>
      </c>
      <c r="D24" s="18">
        <v>341</v>
      </c>
      <c r="E24" s="18" t="s">
        <v>29</v>
      </c>
      <c r="F24" s="18">
        <v>9938</v>
      </c>
      <c r="G24" s="18" t="s">
        <v>1399</v>
      </c>
      <c r="H24" s="19">
        <v>1270.94</v>
      </c>
      <c r="I24" s="18" t="s">
        <v>28</v>
      </c>
      <c r="J24" s="18">
        <v>148175.26</v>
      </c>
      <c r="K24" s="18" t="s">
        <v>26</v>
      </c>
      <c r="L24" s="18">
        <v>183230</v>
      </c>
      <c r="M24" s="18" t="s">
        <v>550</v>
      </c>
      <c r="N24" s="18"/>
      <c r="O24" s="18">
        <v>1</v>
      </c>
      <c r="P24" s="18" t="s">
        <v>1400</v>
      </c>
      <c r="Q24" s="18" t="s">
        <v>1401</v>
      </c>
    </row>
    <row r="25" spans="1:18" x14ac:dyDescent="0.25">
      <c r="A25" s="18">
        <v>8003879954</v>
      </c>
      <c r="B25" s="18">
        <v>51</v>
      </c>
      <c r="C25" s="18">
        <v>27122017</v>
      </c>
      <c r="D25" s="18">
        <v>299</v>
      </c>
      <c r="E25" s="18" t="s">
        <v>30</v>
      </c>
      <c r="F25" s="18">
        <v>9938</v>
      </c>
      <c r="G25" s="18" t="s">
        <v>1399</v>
      </c>
      <c r="H25" s="19">
        <v>0.01</v>
      </c>
      <c r="I25" s="18" t="s">
        <v>28</v>
      </c>
      <c r="J25" s="18">
        <v>149446.20000000001</v>
      </c>
      <c r="K25" s="18" t="s">
        <v>26</v>
      </c>
      <c r="L25" s="18">
        <v>183230</v>
      </c>
      <c r="M25" s="18" t="s">
        <v>1402</v>
      </c>
      <c r="N25" s="18"/>
      <c r="O25" s="18">
        <v>1</v>
      </c>
      <c r="P25" s="18"/>
      <c r="Q25" s="18"/>
    </row>
    <row r="26" spans="1:18" x14ac:dyDescent="0.25">
      <c r="A26" s="18">
        <v>8003879954</v>
      </c>
      <c r="B26" s="18">
        <v>50</v>
      </c>
      <c r="C26" s="18">
        <v>27122017</v>
      </c>
      <c r="D26" s="18">
        <v>489</v>
      </c>
      <c r="E26" s="18" t="s">
        <v>31</v>
      </c>
      <c r="F26" s="18">
        <v>9938</v>
      </c>
      <c r="G26" s="18" t="s">
        <v>1399</v>
      </c>
      <c r="H26" s="19">
        <v>0.1</v>
      </c>
      <c r="I26" s="18" t="s">
        <v>28</v>
      </c>
      <c r="J26" s="18">
        <v>149446.21</v>
      </c>
      <c r="K26" s="18" t="s">
        <v>26</v>
      </c>
      <c r="L26" s="18">
        <v>183230</v>
      </c>
      <c r="M26" s="18" t="s">
        <v>1402</v>
      </c>
      <c r="N26" s="18"/>
      <c r="O26" s="18">
        <v>1</v>
      </c>
      <c r="P26" s="18"/>
      <c r="Q26" s="18"/>
    </row>
    <row r="27" spans="1:18" x14ac:dyDescent="0.25">
      <c r="A27" s="18">
        <v>8003879954</v>
      </c>
      <c r="B27" s="18">
        <v>49</v>
      </c>
      <c r="C27" s="18">
        <v>27122017</v>
      </c>
      <c r="D27" s="18">
        <v>341</v>
      </c>
      <c r="E27" s="18" t="s">
        <v>29</v>
      </c>
      <c r="F27" s="18">
        <v>9938</v>
      </c>
      <c r="G27" s="18" t="s">
        <v>1403</v>
      </c>
      <c r="H27" s="19">
        <v>318</v>
      </c>
      <c r="I27" s="18" t="s">
        <v>28</v>
      </c>
      <c r="J27" s="18">
        <v>149446.31</v>
      </c>
      <c r="K27" s="18" t="s">
        <v>26</v>
      </c>
      <c r="L27" s="18">
        <v>183228</v>
      </c>
      <c r="M27" s="18" t="s">
        <v>365</v>
      </c>
      <c r="N27" s="18"/>
      <c r="O27" s="18">
        <v>1</v>
      </c>
      <c r="P27" s="18" t="s">
        <v>1404</v>
      </c>
      <c r="Q27" s="18" t="s">
        <v>1405</v>
      </c>
    </row>
    <row r="28" spans="1:18" x14ac:dyDescent="0.25">
      <c r="A28" s="18">
        <v>8003879954</v>
      </c>
      <c r="B28" s="18">
        <v>48</v>
      </c>
      <c r="C28" s="18">
        <v>27122017</v>
      </c>
      <c r="D28" s="18">
        <v>299</v>
      </c>
      <c r="E28" s="18" t="s">
        <v>30</v>
      </c>
      <c r="F28" s="18">
        <v>9938</v>
      </c>
      <c r="G28" s="18" t="s">
        <v>1403</v>
      </c>
      <c r="H28" s="19">
        <v>0.01</v>
      </c>
      <c r="I28" s="18" t="s">
        <v>28</v>
      </c>
      <c r="J28" s="18">
        <v>149764.31</v>
      </c>
      <c r="K28" s="18" t="s">
        <v>26</v>
      </c>
      <c r="L28" s="18">
        <v>183228</v>
      </c>
      <c r="M28" s="18" t="s">
        <v>1406</v>
      </c>
      <c r="N28" s="18"/>
      <c r="O28" s="18">
        <v>1</v>
      </c>
      <c r="P28" s="18"/>
      <c r="Q28" s="18"/>
    </row>
    <row r="29" spans="1:18" x14ac:dyDescent="0.25">
      <c r="A29" s="18">
        <v>8003879954</v>
      </c>
      <c r="B29" s="18">
        <v>47</v>
      </c>
      <c r="C29" s="18">
        <v>27122017</v>
      </c>
      <c r="D29" s="18">
        <v>489</v>
      </c>
      <c r="E29" s="18" t="s">
        <v>31</v>
      </c>
      <c r="F29" s="18">
        <v>9938</v>
      </c>
      <c r="G29" s="18" t="s">
        <v>1403</v>
      </c>
      <c r="H29" s="19">
        <v>0.1</v>
      </c>
      <c r="I29" s="18" t="s">
        <v>28</v>
      </c>
      <c r="J29" s="18">
        <v>149764.32</v>
      </c>
      <c r="K29" s="18" t="s">
        <v>26</v>
      </c>
      <c r="L29" s="18">
        <v>183228</v>
      </c>
      <c r="M29" s="18" t="s">
        <v>1406</v>
      </c>
      <c r="N29" s="18"/>
      <c r="O29" s="18">
        <v>1</v>
      </c>
      <c r="P29" s="18"/>
      <c r="Q29" s="18"/>
    </row>
    <row r="30" spans="1:18" x14ac:dyDescent="0.25">
      <c r="A30" s="18">
        <v>8003879954</v>
      </c>
      <c r="B30" s="18">
        <v>46</v>
      </c>
      <c r="C30" s="18">
        <v>27122017</v>
      </c>
      <c r="D30" s="18">
        <v>341</v>
      </c>
      <c r="E30" s="18" t="s">
        <v>29</v>
      </c>
      <c r="F30" s="18">
        <v>9938</v>
      </c>
      <c r="G30" s="18" t="s">
        <v>1407</v>
      </c>
      <c r="H30" s="19">
        <v>1080</v>
      </c>
      <c r="I30" s="18" t="s">
        <v>28</v>
      </c>
      <c r="J30" s="18">
        <v>149764.42000000001</v>
      </c>
      <c r="K30" s="18" t="s">
        <v>26</v>
      </c>
      <c r="L30" s="18">
        <v>183229</v>
      </c>
      <c r="M30" s="18" t="s">
        <v>170</v>
      </c>
      <c r="N30" s="18"/>
      <c r="O30" s="18">
        <v>1</v>
      </c>
      <c r="P30" s="18" t="s">
        <v>1408</v>
      </c>
      <c r="Q30" s="18" t="s">
        <v>1409</v>
      </c>
    </row>
    <row r="31" spans="1:18" x14ac:dyDescent="0.25">
      <c r="A31" s="18">
        <v>8003879954</v>
      </c>
      <c r="B31" s="18">
        <v>45</v>
      </c>
      <c r="C31" s="18">
        <v>27122017</v>
      </c>
      <c r="D31" s="18">
        <v>299</v>
      </c>
      <c r="E31" s="18" t="s">
        <v>30</v>
      </c>
      <c r="F31" s="18">
        <v>9938</v>
      </c>
      <c r="G31" s="18" t="s">
        <v>1407</v>
      </c>
      <c r="H31" s="19">
        <v>0.01</v>
      </c>
      <c r="I31" s="18" t="s">
        <v>28</v>
      </c>
      <c r="J31" s="18">
        <v>150844.42000000001</v>
      </c>
      <c r="K31" s="18" t="s">
        <v>26</v>
      </c>
      <c r="L31" s="18">
        <v>183229</v>
      </c>
      <c r="M31" s="18" t="s">
        <v>1410</v>
      </c>
      <c r="N31" s="18"/>
      <c r="O31" s="18">
        <v>1</v>
      </c>
      <c r="P31" s="18"/>
      <c r="Q31" s="18"/>
    </row>
    <row r="32" spans="1:18" x14ac:dyDescent="0.25">
      <c r="A32" s="18">
        <v>8003879954</v>
      </c>
      <c r="B32" s="18">
        <v>44</v>
      </c>
      <c r="C32" s="18">
        <v>27122017</v>
      </c>
      <c r="D32" s="18">
        <v>489</v>
      </c>
      <c r="E32" s="18" t="s">
        <v>31</v>
      </c>
      <c r="F32" s="18">
        <v>9938</v>
      </c>
      <c r="G32" s="18" t="s">
        <v>1407</v>
      </c>
      <c r="H32" s="19">
        <v>0.1</v>
      </c>
      <c r="I32" s="18" t="s">
        <v>28</v>
      </c>
      <c r="J32" s="18">
        <v>150844.43</v>
      </c>
      <c r="K32" s="18" t="s">
        <v>26</v>
      </c>
      <c r="L32" s="18">
        <v>183229</v>
      </c>
      <c r="M32" s="18" t="s">
        <v>1410</v>
      </c>
      <c r="N32" s="18"/>
      <c r="O32" s="18">
        <v>1</v>
      </c>
      <c r="P32" s="18"/>
      <c r="Q32" s="18"/>
    </row>
    <row r="33" spans="1:17" x14ac:dyDescent="0.25">
      <c r="A33" s="18">
        <v>8003879954</v>
      </c>
      <c r="B33" s="18">
        <v>43</v>
      </c>
      <c r="C33" s="18">
        <v>27122017</v>
      </c>
      <c r="D33" s="18">
        <v>341</v>
      </c>
      <c r="E33" s="18" t="s">
        <v>29</v>
      </c>
      <c r="F33" s="18">
        <v>9938</v>
      </c>
      <c r="G33" s="18" t="s">
        <v>1411</v>
      </c>
      <c r="H33" s="19">
        <v>371</v>
      </c>
      <c r="I33" s="18" t="s">
        <v>28</v>
      </c>
      <c r="J33" s="18">
        <v>150844.53</v>
      </c>
      <c r="K33" s="18" t="s">
        <v>26</v>
      </c>
      <c r="L33" s="18">
        <v>183229</v>
      </c>
      <c r="M33" s="18" t="s">
        <v>75</v>
      </c>
      <c r="N33" s="18"/>
      <c r="O33" s="18">
        <v>1</v>
      </c>
      <c r="P33" s="18" t="s">
        <v>1412</v>
      </c>
      <c r="Q33" s="18" t="s">
        <v>1413</v>
      </c>
    </row>
    <row r="34" spans="1:17" x14ac:dyDescent="0.25">
      <c r="A34" s="18">
        <v>8003879954</v>
      </c>
      <c r="B34" s="18">
        <v>42</v>
      </c>
      <c r="C34" s="18">
        <v>27122017</v>
      </c>
      <c r="D34" s="18">
        <v>299</v>
      </c>
      <c r="E34" s="18" t="s">
        <v>30</v>
      </c>
      <c r="F34" s="18">
        <v>9938</v>
      </c>
      <c r="G34" s="18" t="s">
        <v>1411</v>
      </c>
      <c r="H34" s="19">
        <v>0.01</v>
      </c>
      <c r="I34" s="18" t="s">
        <v>28</v>
      </c>
      <c r="J34" s="18">
        <v>151215.53</v>
      </c>
      <c r="K34" s="18" t="s">
        <v>26</v>
      </c>
      <c r="L34" s="18">
        <v>183229</v>
      </c>
      <c r="M34" s="18" t="s">
        <v>1414</v>
      </c>
      <c r="N34" s="18"/>
      <c r="O34" s="18">
        <v>1</v>
      </c>
      <c r="P34" s="18"/>
      <c r="Q34" s="18"/>
    </row>
    <row r="35" spans="1:17" x14ac:dyDescent="0.25">
      <c r="A35" s="18">
        <v>8003879954</v>
      </c>
      <c r="B35" s="18">
        <v>41</v>
      </c>
      <c r="C35" s="18">
        <v>27122017</v>
      </c>
      <c r="D35" s="18">
        <v>489</v>
      </c>
      <c r="E35" s="18" t="s">
        <v>31</v>
      </c>
      <c r="F35" s="18">
        <v>9938</v>
      </c>
      <c r="G35" s="18" t="s">
        <v>1411</v>
      </c>
      <c r="H35" s="19">
        <v>0.1</v>
      </c>
      <c r="I35" s="18" t="s">
        <v>28</v>
      </c>
      <c r="J35" s="18">
        <v>151215.54</v>
      </c>
      <c r="K35" s="18" t="s">
        <v>26</v>
      </c>
      <c r="L35" s="18">
        <v>183229</v>
      </c>
      <c r="M35" s="18" t="s">
        <v>1414</v>
      </c>
      <c r="N35" s="18"/>
      <c r="O35" s="18">
        <v>1</v>
      </c>
      <c r="P35" s="18"/>
      <c r="Q35" s="18"/>
    </row>
    <row r="36" spans="1:17" x14ac:dyDescent="0.25">
      <c r="A36" s="18">
        <v>8003879954</v>
      </c>
      <c r="B36" s="18">
        <v>40</v>
      </c>
      <c r="C36" s="18">
        <v>27122017</v>
      </c>
      <c r="D36" s="18">
        <v>60</v>
      </c>
      <c r="E36" s="18" t="s">
        <v>43</v>
      </c>
      <c r="F36" s="18">
        <v>9938</v>
      </c>
      <c r="G36" s="18" t="s">
        <v>1415</v>
      </c>
      <c r="H36" s="19">
        <v>360</v>
      </c>
      <c r="I36" s="18" t="s">
        <v>28</v>
      </c>
      <c r="J36" s="18">
        <v>151215.64000000001</v>
      </c>
      <c r="K36" s="18" t="s">
        <v>26</v>
      </c>
      <c r="L36" s="18">
        <v>183229</v>
      </c>
      <c r="M36" s="18" t="s">
        <v>1416</v>
      </c>
      <c r="N36" s="18"/>
      <c r="O36" s="18">
        <v>1</v>
      </c>
      <c r="P36" s="18" t="s">
        <v>1417</v>
      </c>
      <c r="Q36" s="18" t="s">
        <v>1418</v>
      </c>
    </row>
    <row r="37" spans="1:17" x14ac:dyDescent="0.25">
      <c r="A37" s="18">
        <v>8003879954</v>
      </c>
      <c r="B37" s="18">
        <v>39</v>
      </c>
      <c r="C37" s="18">
        <v>27122017</v>
      </c>
      <c r="D37" s="18">
        <v>341</v>
      </c>
      <c r="E37" s="18" t="s">
        <v>29</v>
      </c>
      <c r="F37" s="18">
        <v>9938</v>
      </c>
      <c r="G37" s="18" t="s">
        <v>1419</v>
      </c>
      <c r="H37" s="19">
        <v>207.76</v>
      </c>
      <c r="I37" s="18" t="s">
        <v>28</v>
      </c>
      <c r="J37" s="18">
        <v>151575.64000000001</v>
      </c>
      <c r="K37" s="18" t="s">
        <v>26</v>
      </c>
      <c r="L37" s="18">
        <v>183228</v>
      </c>
      <c r="M37" s="18" t="s">
        <v>1420</v>
      </c>
      <c r="N37" s="18"/>
      <c r="O37" s="18">
        <v>1</v>
      </c>
      <c r="P37" s="18" t="s">
        <v>1421</v>
      </c>
      <c r="Q37" s="18" t="s">
        <v>1422</v>
      </c>
    </row>
    <row r="38" spans="1:17" x14ac:dyDescent="0.25">
      <c r="A38" s="18">
        <v>8003879954</v>
      </c>
      <c r="B38" s="18">
        <v>38</v>
      </c>
      <c r="C38" s="18">
        <v>27122017</v>
      </c>
      <c r="D38" s="18">
        <v>299</v>
      </c>
      <c r="E38" s="18" t="s">
        <v>30</v>
      </c>
      <c r="F38" s="18">
        <v>9938</v>
      </c>
      <c r="G38" s="18" t="s">
        <v>1419</v>
      </c>
      <c r="H38" s="19">
        <v>0.01</v>
      </c>
      <c r="I38" s="18" t="s">
        <v>28</v>
      </c>
      <c r="J38" s="18">
        <v>151783.4</v>
      </c>
      <c r="K38" s="18" t="s">
        <v>26</v>
      </c>
      <c r="L38" s="18">
        <v>183228</v>
      </c>
      <c r="M38" s="18" t="s">
        <v>1423</v>
      </c>
      <c r="N38" s="18"/>
      <c r="O38" s="18">
        <v>1</v>
      </c>
      <c r="P38" s="18"/>
      <c r="Q38" s="18"/>
    </row>
    <row r="39" spans="1:17" x14ac:dyDescent="0.25">
      <c r="A39" s="18">
        <v>8003879954</v>
      </c>
      <c r="B39" s="18">
        <v>37</v>
      </c>
      <c r="C39" s="18">
        <v>27122017</v>
      </c>
      <c r="D39" s="18">
        <v>489</v>
      </c>
      <c r="E39" s="18" t="s">
        <v>31</v>
      </c>
      <c r="F39" s="18">
        <v>9938</v>
      </c>
      <c r="G39" s="18" t="s">
        <v>1419</v>
      </c>
      <c r="H39" s="19">
        <v>0.1</v>
      </c>
      <c r="I39" s="18" t="s">
        <v>28</v>
      </c>
      <c r="J39" s="18">
        <v>151783.41</v>
      </c>
      <c r="K39" s="18" t="s">
        <v>26</v>
      </c>
      <c r="L39" s="18">
        <v>183228</v>
      </c>
      <c r="M39" s="18" t="s">
        <v>1423</v>
      </c>
      <c r="N39" s="18"/>
      <c r="O39" s="18">
        <v>1</v>
      </c>
      <c r="P39" s="18"/>
      <c r="Q39" s="18"/>
    </row>
    <row r="40" spans="1:17" x14ac:dyDescent="0.25">
      <c r="A40" s="18">
        <v>8003879954</v>
      </c>
      <c r="B40" s="18">
        <v>36</v>
      </c>
      <c r="C40" s="18">
        <v>27122017</v>
      </c>
      <c r="D40" s="18">
        <v>341</v>
      </c>
      <c r="E40" s="18" t="s">
        <v>29</v>
      </c>
      <c r="F40" s="18">
        <v>9938</v>
      </c>
      <c r="G40" s="18" t="s">
        <v>1424</v>
      </c>
      <c r="H40" s="19">
        <v>84.8</v>
      </c>
      <c r="I40" s="18" t="s">
        <v>28</v>
      </c>
      <c r="J40" s="18">
        <v>151783.51</v>
      </c>
      <c r="K40" s="18" t="s">
        <v>26</v>
      </c>
      <c r="L40" s="18">
        <v>183228</v>
      </c>
      <c r="M40" s="18" t="s">
        <v>1425</v>
      </c>
      <c r="N40" s="18"/>
      <c r="O40" s="18">
        <v>1</v>
      </c>
      <c r="P40" s="18" t="s">
        <v>1426</v>
      </c>
      <c r="Q40" s="18" t="s">
        <v>1427</v>
      </c>
    </row>
    <row r="41" spans="1:17" x14ac:dyDescent="0.25">
      <c r="A41" s="18">
        <v>8003879954</v>
      </c>
      <c r="B41" s="18">
        <v>35</v>
      </c>
      <c r="C41" s="18">
        <v>27122017</v>
      </c>
      <c r="D41" s="18">
        <v>299</v>
      </c>
      <c r="E41" s="18" t="s">
        <v>30</v>
      </c>
      <c r="F41" s="18">
        <v>9938</v>
      </c>
      <c r="G41" s="18" t="s">
        <v>1424</v>
      </c>
      <c r="H41" s="19">
        <v>0.01</v>
      </c>
      <c r="I41" s="18" t="s">
        <v>28</v>
      </c>
      <c r="J41" s="18">
        <v>151868.31</v>
      </c>
      <c r="K41" s="18" t="s">
        <v>26</v>
      </c>
      <c r="L41" s="18">
        <v>183228</v>
      </c>
      <c r="M41" s="18" t="s">
        <v>1428</v>
      </c>
      <c r="N41" s="18"/>
      <c r="O41" s="18">
        <v>1</v>
      </c>
      <c r="P41" s="18"/>
      <c r="Q41" s="18"/>
    </row>
    <row r="42" spans="1:17" x14ac:dyDescent="0.25">
      <c r="A42" s="18">
        <v>8003879954</v>
      </c>
      <c r="B42" s="18">
        <v>34</v>
      </c>
      <c r="C42" s="18">
        <v>27122017</v>
      </c>
      <c r="D42" s="18">
        <v>489</v>
      </c>
      <c r="E42" s="18" t="s">
        <v>31</v>
      </c>
      <c r="F42" s="18">
        <v>9938</v>
      </c>
      <c r="G42" s="18" t="s">
        <v>1424</v>
      </c>
      <c r="H42" s="19">
        <v>0.1</v>
      </c>
      <c r="I42" s="18" t="s">
        <v>28</v>
      </c>
      <c r="J42" s="18">
        <v>151868.32</v>
      </c>
      <c r="K42" s="18" t="s">
        <v>26</v>
      </c>
      <c r="L42" s="18">
        <v>183228</v>
      </c>
      <c r="M42" s="18" t="s">
        <v>1428</v>
      </c>
      <c r="N42" s="18"/>
      <c r="O42" s="18">
        <v>1</v>
      </c>
      <c r="P42" s="18"/>
      <c r="Q42" s="18"/>
    </row>
    <row r="43" spans="1:17" x14ac:dyDescent="0.25">
      <c r="A43" s="18">
        <v>8003879954</v>
      </c>
      <c r="B43" s="18">
        <v>33</v>
      </c>
      <c r="C43" s="18">
        <v>27122017</v>
      </c>
      <c r="D43" s="18">
        <v>341</v>
      </c>
      <c r="E43" s="18" t="s">
        <v>29</v>
      </c>
      <c r="F43" s="18">
        <v>9938</v>
      </c>
      <c r="G43" s="18" t="s">
        <v>1429</v>
      </c>
      <c r="H43" s="19">
        <v>2000</v>
      </c>
      <c r="I43" s="18" t="s">
        <v>28</v>
      </c>
      <c r="J43" s="18">
        <v>151868.42000000001</v>
      </c>
      <c r="K43" s="18" t="s">
        <v>26</v>
      </c>
      <c r="L43" s="18">
        <v>183228</v>
      </c>
      <c r="M43" s="18" t="s">
        <v>1430</v>
      </c>
      <c r="N43" s="18"/>
      <c r="O43" s="18">
        <v>1</v>
      </c>
      <c r="P43" s="18" t="s">
        <v>1431</v>
      </c>
      <c r="Q43" s="18" t="s">
        <v>126</v>
      </c>
    </row>
    <row r="44" spans="1:17" x14ac:dyDescent="0.25">
      <c r="A44" s="18">
        <v>8003879954</v>
      </c>
      <c r="B44" s="18">
        <v>32</v>
      </c>
      <c r="C44" s="18">
        <v>27122017</v>
      </c>
      <c r="D44" s="18">
        <v>299</v>
      </c>
      <c r="E44" s="18" t="s">
        <v>30</v>
      </c>
      <c r="F44" s="18">
        <v>9938</v>
      </c>
      <c r="G44" s="18" t="s">
        <v>1429</v>
      </c>
      <c r="H44" s="19">
        <v>0.01</v>
      </c>
      <c r="I44" s="18" t="s">
        <v>28</v>
      </c>
      <c r="J44" s="18">
        <v>153868.42000000001</v>
      </c>
      <c r="K44" s="18" t="s">
        <v>26</v>
      </c>
      <c r="L44" s="18">
        <v>183228</v>
      </c>
      <c r="M44" s="18" t="s">
        <v>1432</v>
      </c>
      <c r="N44" s="18"/>
      <c r="O44" s="18">
        <v>1</v>
      </c>
      <c r="P44" s="18"/>
      <c r="Q44" s="18"/>
    </row>
    <row r="45" spans="1:17" x14ac:dyDescent="0.25">
      <c r="A45" s="18">
        <v>8003879954</v>
      </c>
      <c r="B45" s="18">
        <v>31</v>
      </c>
      <c r="C45" s="18">
        <v>27122017</v>
      </c>
      <c r="D45" s="18">
        <v>489</v>
      </c>
      <c r="E45" s="18" t="s">
        <v>31</v>
      </c>
      <c r="F45" s="18">
        <v>9938</v>
      </c>
      <c r="G45" s="18" t="s">
        <v>1429</v>
      </c>
      <c r="H45" s="19">
        <v>0.1</v>
      </c>
      <c r="I45" s="18" t="s">
        <v>28</v>
      </c>
      <c r="J45" s="18">
        <v>153868.43</v>
      </c>
      <c r="K45" s="18" t="s">
        <v>26</v>
      </c>
      <c r="L45" s="18">
        <v>183228</v>
      </c>
      <c r="M45" s="18" t="s">
        <v>1432</v>
      </c>
      <c r="N45" s="18"/>
      <c r="O45" s="18">
        <v>1</v>
      </c>
      <c r="P45" s="18"/>
      <c r="Q45" s="18"/>
    </row>
    <row r="46" spans="1:17" x14ac:dyDescent="0.25">
      <c r="A46" s="18">
        <v>8003879954</v>
      </c>
      <c r="B46" s="18">
        <v>30</v>
      </c>
      <c r="C46" s="18">
        <v>27122017</v>
      </c>
      <c r="D46" s="18">
        <v>341</v>
      </c>
      <c r="E46" s="18" t="s">
        <v>29</v>
      </c>
      <c r="F46" s="18">
        <v>9938</v>
      </c>
      <c r="G46" s="18" t="s">
        <v>1433</v>
      </c>
      <c r="H46" s="19">
        <v>1250</v>
      </c>
      <c r="I46" s="18" t="s">
        <v>28</v>
      </c>
      <c r="J46" s="18">
        <v>153868.53</v>
      </c>
      <c r="K46" s="18" t="s">
        <v>26</v>
      </c>
      <c r="L46" s="18">
        <v>183228</v>
      </c>
      <c r="M46" s="18" t="s">
        <v>451</v>
      </c>
      <c r="N46" s="18"/>
      <c r="O46" s="18">
        <v>1</v>
      </c>
      <c r="P46" s="18" t="s">
        <v>1434</v>
      </c>
      <c r="Q46" s="18" t="s">
        <v>453</v>
      </c>
    </row>
    <row r="47" spans="1:17" x14ac:dyDescent="0.25">
      <c r="A47" s="18">
        <v>8003879954</v>
      </c>
      <c r="B47" s="18">
        <v>29</v>
      </c>
      <c r="C47" s="18">
        <v>27122017</v>
      </c>
      <c r="D47" s="18">
        <v>299</v>
      </c>
      <c r="E47" s="18" t="s">
        <v>30</v>
      </c>
      <c r="F47" s="18">
        <v>9938</v>
      </c>
      <c r="G47" s="18" t="s">
        <v>1433</v>
      </c>
      <c r="H47" s="19">
        <v>0.01</v>
      </c>
      <c r="I47" s="18" t="s">
        <v>28</v>
      </c>
      <c r="J47" s="18">
        <v>155118.53</v>
      </c>
      <c r="K47" s="18" t="s">
        <v>26</v>
      </c>
      <c r="L47" s="18">
        <v>183228</v>
      </c>
      <c r="M47" s="18" t="s">
        <v>1435</v>
      </c>
      <c r="N47" s="18"/>
      <c r="O47" s="18">
        <v>1</v>
      </c>
      <c r="P47" s="18"/>
      <c r="Q47" s="18"/>
    </row>
    <row r="48" spans="1:17" x14ac:dyDescent="0.25">
      <c r="A48" s="18">
        <v>8003879954</v>
      </c>
      <c r="B48" s="18">
        <v>28</v>
      </c>
      <c r="C48" s="18">
        <v>27122017</v>
      </c>
      <c r="D48" s="18">
        <v>489</v>
      </c>
      <c r="E48" s="18" t="s">
        <v>31</v>
      </c>
      <c r="F48" s="18">
        <v>9938</v>
      </c>
      <c r="G48" s="18" t="s">
        <v>1433</v>
      </c>
      <c r="H48" s="19">
        <v>0.1</v>
      </c>
      <c r="I48" s="18" t="s">
        <v>28</v>
      </c>
      <c r="J48" s="18">
        <v>155118.54</v>
      </c>
      <c r="K48" s="18" t="s">
        <v>26</v>
      </c>
      <c r="L48" s="18">
        <v>183228</v>
      </c>
      <c r="M48" s="18" t="s">
        <v>1435</v>
      </c>
      <c r="N48" s="18"/>
      <c r="O48" s="18">
        <v>1</v>
      </c>
      <c r="P48" s="18"/>
      <c r="Q48" s="18"/>
    </row>
    <row r="49" spans="1:17" x14ac:dyDescent="0.25">
      <c r="A49" s="18">
        <v>8003879954</v>
      </c>
      <c r="B49" s="18">
        <v>27</v>
      </c>
      <c r="C49" s="18">
        <v>27122017</v>
      </c>
      <c r="D49" s="18">
        <v>60</v>
      </c>
      <c r="E49" s="18" t="s">
        <v>43</v>
      </c>
      <c r="F49" s="18">
        <v>9938</v>
      </c>
      <c r="G49" s="18" t="s">
        <v>1436</v>
      </c>
      <c r="H49" s="19">
        <v>572.4</v>
      </c>
      <c r="I49" s="18" t="s">
        <v>28</v>
      </c>
      <c r="J49" s="18">
        <v>155118.64000000001</v>
      </c>
      <c r="K49" s="18" t="s">
        <v>26</v>
      </c>
      <c r="L49" s="18">
        <v>183228</v>
      </c>
      <c r="M49" s="18" t="s">
        <v>907</v>
      </c>
      <c r="N49" s="18"/>
      <c r="O49" s="18">
        <v>1</v>
      </c>
      <c r="P49" s="18" t="s">
        <v>1437</v>
      </c>
      <c r="Q49" s="18" t="s">
        <v>1438</v>
      </c>
    </row>
    <row r="50" spans="1:17" x14ac:dyDescent="0.25">
      <c r="A50" s="18">
        <v>8003879954</v>
      </c>
      <c r="B50" s="18">
        <v>26</v>
      </c>
      <c r="C50" s="18">
        <v>27122017</v>
      </c>
      <c r="D50" s="18">
        <v>341</v>
      </c>
      <c r="E50" s="18" t="s">
        <v>29</v>
      </c>
      <c r="F50" s="18">
        <v>9938</v>
      </c>
      <c r="G50" s="18" t="s">
        <v>1439</v>
      </c>
      <c r="H50" s="19">
        <v>1800</v>
      </c>
      <c r="I50" s="18" t="s">
        <v>28</v>
      </c>
      <c r="J50" s="18">
        <v>155691.04</v>
      </c>
      <c r="K50" s="18" t="s">
        <v>26</v>
      </c>
      <c r="L50" s="18">
        <v>182921</v>
      </c>
      <c r="M50" s="18" t="s">
        <v>826</v>
      </c>
      <c r="N50" s="18"/>
      <c r="O50" s="18">
        <v>1</v>
      </c>
      <c r="P50" s="18" t="s">
        <v>1440</v>
      </c>
      <c r="Q50" s="18" t="s">
        <v>1441</v>
      </c>
    </row>
    <row r="51" spans="1:17" x14ac:dyDescent="0.25">
      <c r="A51" s="18">
        <v>8003879954</v>
      </c>
      <c r="B51" s="18">
        <v>25</v>
      </c>
      <c r="C51" s="18">
        <v>27122017</v>
      </c>
      <c r="D51" s="18">
        <v>299</v>
      </c>
      <c r="E51" s="18" t="s">
        <v>30</v>
      </c>
      <c r="F51" s="18">
        <v>9938</v>
      </c>
      <c r="G51" s="18" t="s">
        <v>1439</v>
      </c>
      <c r="H51" s="19">
        <v>0.01</v>
      </c>
      <c r="I51" s="18" t="s">
        <v>28</v>
      </c>
      <c r="J51" s="18">
        <v>157491.04</v>
      </c>
      <c r="K51" s="18" t="s">
        <v>26</v>
      </c>
      <c r="L51" s="18">
        <v>182921</v>
      </c>
      <c r="M51" s="18" t="s">
        <v>1442</v>
      </c>
      <c r="N51" s="18"/>
      <c r="O51" s="18">
        <v>1</v>
      </c>
      <c r="P51" s="18"/>
      <c r="Q51" s="18"/>
    </row>
    <row r="52" spans="1:17" x14ac:dyDescent="0.25">
      <c r="A52" s="18">
        <v>8003879954</v>
      </c>
      <c r="B52" s="18">
        <v>24</v>
      </c>
      <c r="C52" s="18">
        <v>27122017</v>
      </c>
      <c r="D52" s="18">
        <v>489</v>
      </c>
      <c r="E52" s="18" t="s">
        <v>31</v>
      </c>
      <c r="F52" s="18">
        <v>9938</v>
      </c>
      <c r="G52" s="18" t="s">
        <v>1439</v>
      </c>
      <c r="H52" s="19">
        <v>0.1</v>
      </c>
      <c r="I52" s="18" t="s">
        <v>28</v>
      </c>
      <c r="J52" s="18">
        <v>157491.04999999999</v>
      </c>
      <c r="K52" s="18" t="s">
        <v>26</v>
      </c>
      <c r="L52" s="18">
        <v>182921</v>
      </c>
      <c r="M52" s="18" t="s">
        <v>1442</v>
      </c>
      <c r="N52" s="18"/>
      <c r="O52" s="18">
        <v>1</v>
      </c>
      <c r="P52" s="18"/>
      <c r="Q52" s="18"/>
    </row>
    <row r="53" spans="1:17" x14ac:dyDescent="0.25">
      <c r="A53" s="18">
        <v>8003879954</v>
      </c>
      <c r="B53" s="18">
        <v>23</v>
      </c>
      <c r="C53" s="18">
        <v>27122017</v>
      </c>
      <c r="D53" s="18">
        <v>341</v>
      </c>
      <c r="E53" s="18" t="s">
        <v>29</v>
      </c>
      <c r="F53" s="18">
        <v>9938</v>
      </c>
      <c r="G53" s="18" t="s">
        <v>1443</v>
      </c>
      <c r="H53" s="19">
        <v>1257.3399999999999</v>
      </c>
      <c r="I53" s="18" t="s">
        <v>28</v>
      </c>
      <c r="J53" s="18">
        <v>157491.15</v>
      </c>
      <c r="K53" s="18" t="s">
        <v>26</v>
      </c>
      <c r="L53" s="18">
        <v>182921</v>
      </c>
      <c r="M53" s="18" t="s">
        <v>1199</v>
      </c>
      <c r="N53" s="18"/>
      <c r="O53" s="18">
        <v>1</v>
      </c>
      <c r="P53" s="18" t="s">
        <v>1444</v>
      </c>
      <c r="Q53" s="18" t="s">
        <v>1445</v>
      </c>
    </row>
    <row r="54" spans="1:17" x14ac:dyDescent="0.25">
      <c r="A54" s="18">
        <v>8003879954</v>
      </c>
      <c r="B54" s="18">
        <v>22</v>
      </c>
      <c r="C54" s="18">
        <v>27122017</v>
      </c>
      <c r="D54" s="18">
        <v>299</v>
      </c>
      <c r="E54" s="18" t="s">
        <v>30</v>
      </c>
      <c r="F54" s="18">
        <v>9938</v>
      </c>
      <c r="G54" s="18" t="s">
        <v>1443</v>
      </c>
      <c r="H54" s="19">
        <v>0.01</v>
      </c>
      <c r="I54" s="18" t="s">
        <v>28</v>
      </c>
      <c r="J54" s="18">
        <v>158748.49</v>
      </c>
      <c r="K54" s="18" t="s">
        <v>26</v>
      </c>
      <c r="L54" s="18">
        <v>182921</v>
      </c>
      <c r="M54" s="18" t="s">
        <v>1446</v>
      </c>
      <c r="N54" s="18"/>
      <c r="O54" s="18">
        <v>1</v>
      </c>
      <c r="P54" s="18"/>
      <c r="Q54" s="18"/>
    </row>
    <row r="55" spans="1:17" x14ac:dyDescent="0.25">
      <c r="A55" s="18">
        <v>8003879954</v>
      </c>
      <c r="B55" s="18">
        <v>21</v>
      </c>
      <c r="C55" s="18">
        <v>27122017</v>
      </c>
      <c r="D55" s="18">
        <v>489</v>
      </c>
      <c r="E55" s="18" t="s">
        <v>31</v>
      </c>
      <c r="F55" s="18">
        <v>9938</v>
      </c>
      <c r="G55" s="18" t="s">
        <v>1443</v>
      </c>
      <c r="H55" s="19">
        <v>0.1</v>
      </c>
      <c r="I55" s="18" t="s">
        <v>28</v>
      </c>
      <c r="J55" s="18">
        <v>158748.5</v>
      </c>
      <c r="K55" s="18" t="s">
        <v>26</v>
      </c>
      <c r="L55" s="18">
        <v>182921</v>
      </c>
      <c r="M55" s="18" t="s">
        <v>1446</v>
      </c>
      <c r="N55" s="18"/>
      <c r="O55" s="18">
        <v>1</v>
      </c>
      <c r="P55" s="18"/>
      <c r="Q55" s="18"/>
    </row>
    <row r="56" spans="1:17" x14ac:dyDescent="0.25">
      <c r="A56" s="18">
        <v>8003879954</v>
      </c>
      <c r="B56" s="18">
        <v>20</v>
      </c>
      <c r="C56" s="18">
        <v>27122017</v>
      </c>
      <c r="D56" s="18">
        <v>341</v>
      </c>
      <c r="E56" s="18" t="s">
        <v>29</v>
      </c>
      <c r="F56" s="18">
        <v>9938</v>
      </c>
      <c r="G56" s="18" t="s">
        <v>1447</v>
      </c>
      <c r="H56" s="19">
        <v>90</v>
      </c>
      <c r="I56" s="18" t="s">
        <v>28</v>
      </c>
      <c r="J56" s="18">
        <v>158748.6</v>
      </c>
      <c r="K56" s="18" t="s">
        <v>26</v>
      </c>
      <c r="L56" s="18">
        <v>182921</v>
      </c>
      <c r="M56" s="18" t="s">
        <v>1448</v>
      </c>
      <c r="N56" s="18"/>
      <c r="O56" s="18">
        <v>1</v>
      </c>
      <c r="P56" s="18" t="s">
        <v>1449</v>
      </c>
      <c r="Q56" s="18" t="s">
        <v>1450</v>
      </c>
    </row>
    <row r="57" spans="1:17" x14ac:dyDescent="0.25">
      <c r="A57" s="18">
        <v>8003879954</v>
      </c>
      <c r="B57" s="18">
        <v>19</v>
      </c>
      <c r="C57" s="18">
        <v>27122017</v>
      </c>
      <c r="D57" s="18">
        <v>299</v>
      </c>
      <c r="E57" s="18" t="s">
        <v>30</v>
      </c>
      <c r="F57" s="18">
        <v>9938</v>
      </c>
      <c r="G57" s="18" t="s">
        <v>1447</v>
      </c>
      <c r="H57" s="19">
        <v>0.01</v>
      </c>
      <c r="I57" s="18" t="s">
        <v>28</v>
      </c>
      <c r="J57" s="18">
        <v>158838.6</v>
      </c>
      <c r="K57" s="18" t="s">
        <v>26</v>
      </c>
      <c r="L57" s="18">
        <v>182921</v>
      </c>
      <c r="M57" s="18" t="s">
        <v>1451</v>
      </c>
      <c r="N57" s="18"/>
      <c r="O57" s="18">
        <v>1</v>
      </c>
      <c r="P57" s="18"/>
      <c r="Q57" s="18"/>
    </row>
    <row r="58" spans="1:17" x14ac:dyDescent="0.25">
      <c r="A58" s="18">
        <v>8003879954</v>
      </c>
      <c r="B58" s="18">
        <v>18</v>
      </c>
      <c r="C58" s="18">
        <v>27122017</v>
      </c>
      <c r="D58" s="18">
        <v>489</v>
      </c>
      <c r="E58" s="18" t="s">
        <v>31</v>
      </c>
      <c r="F58" s="18">
        <v>9938</v>
      </c>
      <c r="G58" s="18" t="s">
        <v>1447</v>
      </c>
      <c r="H58" s="19">
        <v>0.1</v>
      </c>
      <c r="I58" s="18" t="s">
        <v>28</v>
      </c>
      <c r="J58" s="18">
        <v>158838.60999999999</v>
      </c>
      <c r="K58" s="18" t="s">
        <v>26</v>
      </c>
      <c r="L58" s="18">
        <v>182921</v>
      </c>
      <c r="M58" s="18" t="s">
        <v>1451</v>
      </c>
      <c r="N58" s="18"/>
      <c r="O58" s="18">
        <v>1</v>
      </c>
      <c r="P58" s="18"/>
      <c r="Q58" s="18"/>
    </row>
    <row r="59" spans="1:17" x14ac:dyDescent="0.25">
      <c r="A59" s="18">
        <v>8003879954</v>
      </c>
      <c r="B59" s="18">
        <v>17</v>
      </c>
      <c r="C59" s="18">
        <v>27122017</v>
      </c>
      <c r="D59" s="18">
        <v>341</v>
      </c>
      <c r="E59" s="18" t="s">
        <v>29</v>
      </c>
      <c r="F59" s="18">
        <v>9938</v>
      </c>
      <c r="G59" s="18" t="s">
        <v>1452</v>
      </c>
      <c r="H59" s="19">
        <v>2748.09</v>
      </c>
      <c r="I59" s="18" t="s">
        <v>28</v>
      </c>
      <c r="J59" s="18">
        <v>158838.71</v>
      </c>
      <c r="K59" s="18" t="s">
        <v>26</v>
      </c>
      <c r="L59" s="18">
        <v>182921</v>
      </c>
      <c r="M59" s="18" t="s">
        <v>120</v>
      </c>
      <c r="N59" s="18"/>
      <c r="O59" s="18">
        <v>1</v>
      </c>
      <c r="P59" s="18" t="s">
        <v>1453</v>
      </c>
      <c r="Q59" s="18" t="s">
        <v>1454</v>
      </c>
    </row>
    <row r="60" spans="1:17" x14ac:dyDescent="0.25">
      <c r="A60" s="18">
        <v>8003879954</v>
      </c>
      <c r="B60" s="18">
        <v>16</v>
      </c>
      <c r="C60" s="18">
        <v>27122017</v>
      </c>
      <c r="D60" s="18">
        <v>299</v>
      </c>
      <c r="E60" s="18" t="s">
        <v>30</v>
      </c>
      <c r="F60" s="18">
        <v>9938</v>
      </c>
      <c r="G60" s="18" t="s">
        <v>1452</v>
      </c>
      <c r="H60" s="19">
        <v>0.01</v>
      </c>
      <c r="I60" s="18" t="s">
        <v>28</v>
      </c>
      <c r="J60" s="18">
        <v>161586.79999999999</v>
      </c>
      <c r="K60" s="18" t="s">
        <v>26</v>
      </c>
      <c r="L60" s="18">
        <v>182921</v>
      </c>
      <c r="M60" s="18" t="s">
        <v>1455</v>
      </c>
      <c r="N60" s="18"/>
      <c r="O60" s="18">
        <v>1</v>
      </c>
      <c r="P60" s="18"/>
      <c r="Q60" s="18"/>
    </row>
    <row r="61" spans="1:17" x14ac:dyDescent="0.25">
      <c r="A61" s="18">
        <v>8003879954</v>
      </c>
      <c r="B61" s="18">
        <v>15</v>
      </c>
      <c r="C61" s="18">
        <v>27122017</v>
      </c>
      <c r="D61" s="18">
        <v>489</v>
      </c>
      <c r="E61" s="18" t="s">
        <v>31</v>
      </c>
      <c r="F61" s="18">
        <v>9938</v>
      </c>
      <c r="G61" s="18" t="s">
        <v>1452</v>
      </c>
      <c r="H61" s="19">
        <v>0.1</v>
      </c>
      <c r="I61" s="18" t="s">
        <v>28</v>
      </c>
      <c r="J61" s="18">
        <v>161586.81</v>
      </c>
      <c r="K61" s="18" t="s">
        <v>26</v>
      </c>
      <c r="L61" s="18">
        <v>182921</v>
      </c>
      <c r="M61" s="18" t="s">
        <v>1455</v>
      </c>
      <c r="N61" s="18"/>
      <c r="O61" s="18">
        <v>1</v>
      </c>
      <c r="P61" s="18"/>
      <c r="Q61" s="18"/>
    </row>
    <row r="62" spans="1:17" x14ac:dyDescent="0.25">
      <c r="A62" s="18">
        <v>8003879954</v>
      </c>
      <c r="B62" s="18">
        <v>14</v>
      </c>
      <c r="C62" s="18">
        <v>27122017</v>
      </c>
      <c r="D62" s="18">
        <v>341</v>
      </c>
      <c r="E62" s="18" t="s">
        <v>29</v>
      </c>
      <c r="F62" s="18">
        <v>9938</v>
      </c>
      <c r="G62" s="18" t="s">
        <v>1456</v>
      </c>
      <c r="H62" s="19">
        <v>4770</v>
      </c>
      <c r="I62" s="18" t="s">
        <v>28</v>
      </c>
      <c r="J62" s="18">
        <v>161586.91</v>
      </c>
      <c r="K62" s="18" t="s">
        <v>26</v>
      </c>
      <c r="L62" s="18">
        <v>182920</v>
      </c>
      <c r="M62" s="18" t="s">
        <v>394</v>
      </c>
      <c r="N62" s="18"/>
      <c r="O62" s="18">
        <v>1</v>
      </c>
      <c r="P62" s="18" t="s">
        <v>1457</v>
      </c>
      <c r="Q62" s="18" t="s">
        <v>1458</v>
      </c>
    </row>
    <row r="63" spans="1:17" x14ac:dyDescent="0.25">
      <c r="A63" s="18">
        <v>8003879954</v>
      </c>
      <c r="B63" s="18">
        <v>13</v>
      </c>
      <c r="C63" s="18">
        <v>27122017</v>
      </c>
      <c r="D63" s="18">
        <v>299</v>
      </c>
      <c r="E63" s="18" t="s">
        <v>30</v>
      </c>
      <c r="F63" s="18">
        <v>9938</v>
      </c>
      <c r="G63" s="18" t="s">
        <v>1456</v>
      </c>
      <c r="H63" s="19">
        <v>0.01</v>
      </c>
      <c r="I63" s="18" t="s">
        <v>28</v>
      </c>
      <c r="J63" s="18">
        <v>166356.91</v>
      </c>
      <c r="K63" s="18" t="s">
        <v>26</v>
      </c>
      <c r="L63" s="18">
        <v>182920</v>
      </c>
      <c r="M63" s="18" t="s">
        <v>1459</v>
      </c>
      <c r="N63" s="18"/>
      <c r="O63" s="18">
        <v>1</v>
      </c>
      <c r="P63" s="18"/>
      <c r="Q63" s="18"/>
    </row>
    <row r="64" spans="1:17" x14ac:dyDescent="0.25">
      <c r="A64" s="18">
        <v>8003879954</v>
      </c>
      <c r="B64" s="18">
        <v>12</v>
      </c>
      <c r="C64" s="18">
        <v>27122017</v>
      </c>
      <c r="D64" s="18">
        <v>489</v>
      </c>
      <c r="E64" s="18" t="s">
        <v>31</v>
      </c>
      <c r="F64" s="18">
        <v>9938</v>
      </c>
      <c r="G64" s="18" t="s">
        <v>1456</v>
      </c>
      <c r="H64" s="19">
        <v>0.1</v>
      </c>
      <c r="I64" s="18" t="s">
        <v>28</v>
      </c>
      <c r="J64" s="18">
        <v>166356.92000000001</v>
      </c>
      <c r="K64" s="18" t="s">
        <v>26</v>
      </c>
      <c r="L64" s="18">
        <v>182920</v>
      </c>
      <c r="M64" s="18" t="s">
        <v>1459</v>
      </c>
      <c r="N64" s="18"/>
      <c r="O64" s="18">
        <v>1</v>
      </c>
      <c r="P64" s="18"/>
      <c r="Q64" s="18"/>
    </row>
    <row r="65" spans="1:17" x14ac:dyDescent="0.25">
      <c r="A65" s="18">
        <v>8003879954</v>
      </c>
      <c r="B65" s="18">
        <v>11</v>
      </c>
      <c r="C65" s="18">
        <v>27122017</v>
      </c>
      <c r="D65" s="18">
        <v>341</v>
      </c>
      <c r="E65" s="18" t="s">
        <v>29</v>
      </c>
      <c r="F65" s="18">
        <v>9938</v>
      </c>
      <c r="G65" s="18" t="s">
        <v>1460</v>
      </c>
      <c r="H65" s="19">
        <v>850</v>
      </c>
      <c r="I65" s="18" t="s">
        <v>28</v>
      </c>
      <c r="J65" s="18">
        <v>166357.01999999999</v>
      </c>
      <c r="K65" s="18" t="s">
        <v>26</v>
      </c>
      <c r="L65" s="18">
        <v>182920</v>
      </c>
      <c r="M65" s="18" t="s">
        <v>778</v>
      </c>
      <c r="N65" s="18"/>
      <c r="O65" s="18">
        <v>1</v>
      </c>
      <c r="P65" s="18" t="s">
        <v>1461</v>
      </c>
      <c r="Q65" s="18" t="s">
        <v>1462</v>
      </c>
    </row>
    <row r="66" spans="1:17" x14ac:dyDescent="0.25">
      <c r="A66" s="18">
        <v>8003879954</v>
      </c>
      <c r="B66" s="18">
        <v>10</v>
      </c>
      <c r="C66" s="18">
        <v>27122017</v>
      </c>
      <c r="D66" s="18">
        <v>299</v>
      </c>
      <c r="E66" s="18" t="s">
        <v>30</v>
      </c>
      <c r="F66" s="18">
        <v>9938</v>
      </c>
      <c r="G66" s="18" t="s">
        <v>1460</v>
      </c>
      <c r="H66" s="19">
        <v>0.01</v>
      </c>
      <c r="I66" s="18" t="s">
        <v>28</v>
      </c>
      <c r="J66" s="18">
        <v>167207.01999999999</v>
      </c>
      <c r="K66" s="18" t="s">
        <v>26</v>
      </c>
      <c r="L66" s="18">
        <v>182920</v>
      </c>
      <c r="M66" s="18" t="s">
        <v>1463</v>
      </c>
      <c r="N66" s="18"/>
      <c r="O66" s="18">
        <v>1</v>
      </c>
      <c r="P66" s="18"/>
      <c r="Q66" s="18"/>
    </row>
    <row r="67" spans="1:17" x14ac:dyDescent="0.25">
      <c r="A67" s="18">
        <v>8003879954</v>
      </c>
      <c r="B67" s="18">
        <v>9</v>
      </c>
      <c r="C67" s="18">
        <v>27122017</v>
      </c>
      <c r="D67" s="18">
        <v>489</v>
      </c>
      <c r="E67" s="18" t="s">
        <v>31</v>
      </c>
      <c r="F67" s="18">
        <v>9938</v>
      </c>
      <c r="G67" s="18" t="s">
        <v>1460</v>
      </c>
      <c r="H67" s="19">
        <v>0.1</v>
      </c>
      <c r="I67" s="18" t="s">
        <v>28</v>
      </c>
      <c r="J67" s="18">
        <v>167207.03</v>
      </c>
      <c r="K67" s="18" t="s">
        <v>26</v>
      </c>
      <c r="L67" s="18">
        <v>182920</v>
      </c>
      <c r="M67" s="18" t="s">
        <v>1463</v>
      </c>
      <c r="N67" s="18"/>
      <c r="O67" s="18">
        <v>1</v>
      </c>
      <c r="P67" s="18"/>
      <c r="Q67" s="18"/>
    </row>
    <row r="68" spans="1:17" x14ac:dyDescent="0.25">
      <c r="A68" s="18">
        <v>8003879954</v>
      </c>
      <c r="B68" s="18">
        <v>8</v>
      </c>
      <c r="C68" s="18">
        <v>27122017</v>
      </c>
      <c r="D68" s="18">
        <v>341</v>
      </c>
      <c r="E68" s="18" t="s">
        <v>29</v>
      </c>
      <c r="F68" s="18">
        <v>9938</v>
      </c>
      <c r="G68" s="18" t="s">
        <v>1464</v>
      </c>
      <c r="H68" s="19">
        <v>270</v>
      </c>
      <c r="I68" s="18" t="s">
        <v>28</v>
      </c>
      <c r="J68" s="18">
        <v>167207.13</v>
      </c>
      <c r="K68" s="18" t="s">
        <v>26</v>
      </c>
      <c r="L68" s="18">
        <v>182920</v>
      </c>
      <c r="M68" s="18" t="s">
        <v>165</v>
      </c>
      <c r="N68" s="18"/>
      <c r="O68" s="18">
        <v>1</v>
      </c>
      <c r="P68" s="18" t="s">
        <v>1465</v>
      </c>
      <c r="Q68" s="18" t="s">
        <v>1466</v>
      </c>
    </row>
    <row r="69" spans="1:17" x14ac:dyDescent="0.25">
      <c r="A69" s="18">
        <v>8003879954</v>
      </c>
      <c r="B69" s="18">
        <v>7</v>
      </c>
      <c r="C69" s="18">
        <v>27122017</v>
      </c>
      <c r="D69" s="18">
        <v>299</v>
      </c>
      <c r="E69" s="18" t="s">
        <v>30</v>
      </c>
      <c r="F69" s="18">
        <v>9938</v>
      </c>
      <c r="G69" s="18" t="s">
        <v>1464</v>
      </c>
      <c r="H69" s="19">
        <v>0.01</v>
      </c>
      <c r="I69" s="18" t="s">
        <v>28</v>
      </c>
      <c r="J69" s="18">
        <v>167477.13</v>
      </c>
      <c r="K69" s="18" t="s">
        <v>26</v>
      </c>
      <c r="L69" s="18">
        <v>182920</v>
      </c>
      <c r="M69" s="18" t="s">
        <v>1467</v>
      </c>
      <c r="N69" s="18"/>
      <c r="O69" s="18">
        <v>1</v>
      </c>
      <c r="P69" s="18"/>
      <c r="Q69" s="18"/>
    </row>
    <row r="70" spans="1:17" x14ac:dyDescent="0.25">
      <c r="A70" s="18">
        <v>8003879954</v>
      </c>
      <c r="B70" s="18">
        <v>6</v>
      </c>
      <c r="C70" s="18">
        <v>27122017</v>
      </c>
      <c r="D70" s="18">
        <v>489</v>
      </c>
      <c r="E70" s="18" t="s">
        <v>31</v>
      </c>
      <c r="F70" s="18">
        <v>9938</v>
      </c>
      <c r="G70" s="18" t="s">
        <v>1464</v>
      </c>
      <c r="H70" s="19">
        <v>0.1</v>
      </c>
      <c r="I70" s="18" t="s">
        <v>28</v>
      </c>
      <c r="J70" s="18">
        <v>167477.14000000001</v>
      </c>
      <c r="K70" s="18" t="s">
        <v>26</v>
      </c>
      <c r="L70" s="18">
        <v>182920</v>
      </c>
      <c r="M70" s="18" t="s">
        <v>1467</v>
      </c>
      <c r="N70" s="18"/>
      <c r="O70" s="18">
        <v>1</v>
      </c>
      <c r="P70" s="18"/>
      <c r="Q70" s="18"/>
    </row>
    <row r="71" spans="1:17" x14ac:dyDescent="0.25">
      <c r="A71" s="18">
        <v>8003879954</v>
      </c>
      <c r="B71" s="18">
        <v>5</v>
      </c>
      <c r="C71" s="18">
        <v>27122017</v>
      </c>
      <c r="D71" s="18">
        <v>60</v>
      </c>
      <c r="E71" s="18" t="s">
        <v>43</v>
      </c>
      <c r="F71" s="18">
        <v>9938</v>
      </c>
      <c r="G71" s="18" t="s">
        <v>1468</v>
      </c>
      <c r="H71" s="19">
        <v>390</v>
      </c>
      <c r="I71" s="18" t="s">
        <v>28</v>
      </c>
      <c r="J71" s="18">
        <v>167477.24</v>
      </c>
      <c r="K71" s="18" t="s">
        <v>26</v>
      </c>
      <c r="L71" s="18">
        <v>182920</v>
      </c>
      <c r="M71" s="18" t="s">
        <v>1469</v>
      </c>
      <c r="N71" s="18"/>
      <c r="O71" s="18">
        <v>1</v>
      </c>
      <c r="P71" s="18" t="s">
        <v>1470</v>
      </c>
      <c r="Q71" s="18" t="s">
        <v>1471</v>
      </c>
    </row>
    <row r="72" spans="1:17" x14ac:dyDescent="0.25">
      <c r="A72" s="18">
        <v>8003879954</v>
      </c>
      <c r="B72" s="18">
        <v>4</v>
      </c>
      <c r="C72" s="18">
        <v>27122017</v>
      </c>
      <c r="D72" s="18">
        <v>60</v>
      </c>
      <c r="E72" s="18" t="s">
        <v>43</v>
      </c>
      <c r="F72" s="18">
        <v>9938</v>
      </c>
      <c r="G72" s="18" t="s">
        <v>1472</v>
      </c>
      <c r="H72" s="19">
        <v>2173</v>
      </c>
      <c r="I72" s="18" t="s">
        <v>28</v>
      </c>
      <c r="J72" s="18">
        <v>167867.24</v>
      </c>
      <c r="K72" s="18" t="s">
        <v>26</v>
      </c>
      <c r="L72" s="18">
        <v>182920</v>
      </c>
      <c r="M72" s="18" t="s">
        <v>1473</v>
      </c>
      <c r="N72" s="18"/>
      <c r="O72" s="18">
        <v>1</v>
      </c>
      <c r="P72" s="18" t="s">
        <v>1474</v>
      </c>
      <c r="Q72" s="18" t="s">
        <v>285</v>
      </c>
    </row>
    <row r="73" spans="1:17" x14ac:dyDescent="0.25">
      <c r="A73" s="18">
        <v>8003879954</v>
      </c>
      <c r="B73" s="18">
        <v>3</v>
      </c>
      <c r="C73" s="18">
        <v>27122017</v>
      </c>
      <c r="D73" s="18">
        <v>299</v>
      </c>
      <c r="E73" s="18" t="s">
        <v>44</v>
      </c>
      <c r="F73" s="18">
        <v>72</v>
      </c>
      <c r="G73" s="18" t="s">
        <v>1475</v>
      </c>
      <c r="H73" s="19">
        <v>0.6</v>
      </c>
      <c r="I73" s="18" t="s">
        <v>28</v>
      </c>
      <c r="J73" s="18">
        <v>170040.24</v>
      </c>
      <c r="K73" s="18" t="s">
        <v>26</v>
      </c>
      <c r="L73" s="18">
        <v>141108</v>
      </c>
      <c r="M73" s="18" t="s">
        <v>1476</v>
      </c>
      <c r="N73" s="18"/>
      <c r="O73" s="18">
        <v>1</v>
      </c>
      <c r="P73" s="18"/>
      <c r="Q73" s="18"/>
    </row>
    <row r="74" spans="1:17" x14ac:dyDescent="0.25">
      <c r="A74" s="18">
        <v>8003879954</v>
      </c>
      <c r="B74" s="18">
        <v>2</v>
      </c>
      <c r="C74" s="18">
        <v>27122017</v>
      </c>
      <c r="D74" s="18">
        <v>415</v>
      </c>
      <c r="E74" s="18" t="s">
        <v>34</v>
      </c>
      <c r="F74" s="18">
        <v>72</v>
      </c>
      <c r="G74" s="18" t="s">
        <v>1475</v>
      </c>
      <c r="H74" s="19">
        <v>10</v>
      </c>
      <c r="I74" s="18" t="s">
        <v>28</v>
      </c>
      <c r="J74" s="18">
        <v>170040.84</v>
      </c>
      <c r="K74" s="18" t="s">
        <v>26</v>
      </c>
      <c r="L74" s="18">
        <v>141108</v>
      </c>
      <c r="M74" s="18" t="s">
        <v>1476</v>
      </c>
      <c r="N74" s="18"/>
      <c r="O74" s="18">
        <v>1</v>
      </c>
      <c r="P74" s="18"/>
      <c r="Q74" s="18"/>
    </row>
    <row r="75" spans="1:17" x14ac:dyDescent="0.25">
      <c r="A75" s="18">
        <v>8003879954</v>
      </c>
      <c r="B75" s="18">
        <v>1</v>
      </c>
      <c r="C75" s="18">
        <v>27122017</v>
      </c>
      <c r="D75" s="18">
        <v>349</v>
      </c>
      <c r="E75" s="18" t="s">
        <v>35</v>
      </c>
      <c r="F75" s="18">
        <v>72</v>
      </c>
      <c r="G75" s="18" t="s">
        <v>1475</v>
      </c>
      <c r="H75" s="19">
        <v>12497.09</v>
      </c>
      <c r="I75" s="18" t="s">
        <v>28</v>
      </c>
      <c r="J75" s="18">
        <v>170050.84</v>
      </c>
      <c r="K75" s="18" t="s">
        <v>26</v>
      </c>
      <c r="L75" s="18">
        <v>141108</v>
      </c>
      <c r="M75" s="18" t="s">
        <v>1476</v>
      </c>
      <c r="N75" s="18"/>
      <c r="O75" s="18">
        <v>1</v>
      </c>
      <c r="P75" s="18"/>
      <c r="Q75" s="18"/>
    </row>
    <row r="76" spans="1:17" x14ac:dyDescent="0.25">
      <c r="A76" s="15">
        <v>8003879954</v>
      </c>
      <c r="B76" s="15">
        <v>9</v>
      </c>
      <c r="C76" s="15">
        <v>26122017</v>
      </c>
      <c r="D76" s="15">
        <v>299</v>
      </c>
      <c r="E76" s="15" t="s">
        <v>30</v>
      </c>
      <c r="H76" s="14">
        <v>0.03</v>
      </c>
      <c r="I76" s="15" t="s">
        <v>28</v>
      </c>
      <c r="J76" s="14">
        <v>182547.93</v>
      </c>
      <c r="K76" s="15" t="s">
        <v>26</v>
      </c>
      <c r="L76" s="15">
        <v>5521</v>
      </c>
      <c r="M76" s="15" t="s">
        <v>53</v>
      </c>
      <c r="O76" s="15">
        <v>1</v>
      </c>
    </row>
    <row r="77" spans="1:17" x14ac:dyDescent="0.25">
      <c r="A77" s="15">
        <v>8003879954</v>
      </c>
      <c r="B77" s="15">
        <v>8</v>
      </c>
      <c r="C77" s="15">
        <v>26122017</v>
      </c>
      <c r="D77" s="15">
        <v>819</v>
      </c>
      <c r="E77" s="15" t="s">
        <v>32</v>
      </c>
      <c r="H77" s="14">
        <v>0.5</v>
      </c>
      <c r="I77" s="15" t="s">
        <v>28</v>
      </c>
      <c r="J77" s="14">
        <v>182547.96</v>
      </c>
      <c r="K77" s="15" t="s">
        <v>26</v>
      </c>
      <c r="L77" s="15">
        <v>5521</v>
      </c>
      <c r="M77" s="15" t="s">
        <v>53</v>
      </c>
      <c r="O77" s="15">
        <v>1</v>
      </c>
    </row>
    <row r="78" spans="1:17" x14ac:dyDescent="0.25">
      <c r="A78" s="15">
        <v>8003879954</v>
      </c>
      <c r="B78" s="15">
        <v>7</v>
      </c>
      <c r="C78" s="15">
        <v>26122017</v>
      </c>
      <c r="D78" s="15">
        <v>299</v>
      </c>
      <c r="E78" s="15" t="s">
        <v>30</v>
      </c>
      <c r="H78" s="14">
        <v>0.12</v>
      </c>
      <c r="I78" s="15" t="s">
        <v>28</v>
      </c>
      <c r="J78" s="14">
        <v>182548.46</v>
      </c>
      <c r="K78" s="15" t="s">
        <v>26</v>
      </c>
      <c r="L78" s="15">
        <v>5521</v>
      </c>
      <c r="M78" s="15" t="s">
        <v>53</v>
      </c>
      <c r="O78" s="15">
        <v>1</v>
      </c>
    </row>
    <row r="79" spans="1:17" x14ac:dyDescent="0.25">
      <c r="A79" s="15">
        <v>8003879954</v>
      </c>
      <c r="B79" s="15">
        <v>6</v>
      </c>
      <c r="C79" s="15">
        <v>26122017</v>
      </c>
      <c r="D79" s="15">
        <v>819</v>
      </c>
      <c r="E79" s="15" t="s">
        <v>32</v>
      </c>
      <c r="H79" s="14">
        <v>2</v>
      </c>
      <c r="I79" s="15" t="s">
        <v>28</v>
      </c>
      <c r="J79" s="14">
        <v>182548.58</v>
      </c>
      <c r="K79" s="15" t="s">
        <v>26</v>
      </c>
      <c r="L79" s="15">
        <v>5521</v>
      </c>
      <c r="M79" s="15" t="s">
        <v>53</v>
      </c>
      <c r="O79" s="15">
        <v>1</v>
      </c>
    </row>
    <row r="80" spans="1:17" x14ac:dyDescent="0.25">
      <c r="A80" s="15">
        <v>8003879954</v>
      </c>
      <c r="B80" s="15">
        <v>5</v>
      </c>
      <c r="C80" s="15">
        <v>26122017</v>
      </c>
      <c r="D80" s="15">
        <v>323</v>
      </c>
      <c r="E80" s="15" t="s">
        <v>33</v>
      </c>
      <c r="F80" s="15">
        <v>0</v>
      </c>
      <c r="G80" s="15" t="s">
        <v>1332</v>
      </c>
      <c r="H80" s="14">
        <v>24216.880000000001</v>
      </c>
      <c r="I80" s="15" t="s">
        <v>28</v>
      </c>
      <c r="J80" s="14">
        <v>182550.58</v>
      </c>
      <c r="K80" s="15" t="s">
        <v>26</v>
      </c>
      <c r="L80" s="15">
        <v>5259</v>
      </c>
      <c r="M80" s="15" t="s">
        <v>53</v>
      </c>
      <c r="O80" s="15">
        <v>1</v>
      </c>
    </row>
    <row r="81" spans="1:17" x14ac:dyDescent="0.25">
      <c r="A81" s="15">
        <v>8003879954</v>
      </c>
      <c r="B81" s="15">
        <v>4</v>
      </c>
      <c r="C81" s="15">
        <v>26122017</v>
      </c>
      <c r="D81" s="15">
        <v>323</v>
      </c>
      <c r="E81" s="15" t="s">
        <v>33</v>
      </c>
      <c r="F81" s="15">
        <v>0</v>
      </c>
      <c r="G81" s="15" t="s">
        <v>1333</v>
      </c>
      <c r="H81" s="14">
        <v>21499.200000000001</v>
      </c>
      <c r="I81" s="15" t="s">
        <v>28</v>
      </c>
      <c r="J81" s="14">
        <v>206767.46</v>
      </c>
      <c r="K81" s="15" t="s">
        <v>26</v>
      </c>
      <c r="L81" s="15">
        <v>5259</v>
      </c>
      <c r="M81" s="15" t="s">
        <v>53</v>
      </c>
      <c r="O81" s="15">
        <v>1</v>
      </c>
    </row>
    <row r="82" spans="1:17" x14ac:dyDescent="0.25">
      <c r="A82" s="15">
        <v>8003879954</v>
      </c>
      <c r="B82" s="15">
        <v>3</v>
      </c>
      <c r="C82" s="15">
        <v>26122017</v>
      </c>
      <c r="D82" s="15">
        <v>321</v>
      </c>
      <c r="E82" s="15" t="s">
        <v>37</v>
      </c>
      <c r="F82" s="15">
        <v>0</v>
      </c>
      <c r="G82" s="15" t="s">
        <v>1334</v>
      </c>
      <c r="H82" s="14">
        <v>11766</v>
      </c>
      <c r="I82" s="15" t="s">
        <v>28</v>
      </c>
      <c r="J82" s="14">
        <v>228266.66</v>
      </c>
      <c r="K82" s="15" t="s">
        <v>26</v>
      </c>
      <c r="L82" s="15">
        <v>5259</v>
      </c>
      <c r="M82" s="15" t="s">
        <v>53</v>
      </c>
      <c r="O82" s="15">
        <v>1</v>
      </c>
    </row>
    <row r="83" spans="1:17" x14ac:dyDescent="0.25">
      <c r="A83" s="15">
        <v>8003879954</v>
      </c>
      <c r="B83" s="15">
        <v>2</v>
      </c>
      <c r="C83" s="15">
        <v>26122017</v>
      </c>
      <c r="D83" s="15">
        <v>323</v>
      </c>
      <c r="E83" s="15" t="s">
        <v>33</v>
      </c>
      <c r="F83" s="15">
        <v>0</v>
      </c>
      <c r="G83" s="15" t="s">
        <v>1335</v>
      </c>
      <c r="H83" s="14">
        <v>36323.699999999997</v>
      </c>
      <c r="I83" s="15" t="s">
        <v>28</v>
      </c>
      <c r="J83" s="14">
        <v>240032.66</v>
      </c>
      <c r="K83" s="15" t="s">
        <v>26</v>
      </c>
      <c r="L83" s="15">
        <v>5259</v>
      </c>
      <c r="M83" s="15" t="s">
        <v>53</v>
      </c>
      <c r="O83" s="15">
        <v>1</v>
      </c>
    </row>
    <row r="84" spans="1:17" x14ac:dyDescent="0.25">
      <c r="A84" s="15">
        <v>8003879954</v>
      </c>
      <c r="B84" s="15">
        <v>1</v>
      </c>
      <c r="C84" s="15">
        <v>26122017</v>
      </c>
      <c r="D84" s="15">
        <v>323</v>
      </c>
      <c r="E84" s="15" t="s">
        <v>33</v>
      </c>
      <c r="F84" s="15">
        <v>0</v>
      </c>
      <c r="G84" s="15" t="s">
        <v>1336</v>
      </c>
      <c r="H84" s="14">
        <v>13161.27</v>
      </c>
      <c r="I84" s="15" t="s">
        <v>28</v>
      </c>
      <c r="J84" s="14">
        <v>276356.36</v>
      </c>
      <c r="K84" s="15" t="s">
        <v>26</v>
      </c>
      <c r="L84" s="15">
        <v>5259</v>
      </c>
      <c r="M84" s="15" t="s">
        <v>53</v>
      </c>
      <c r="O84" s="15">
        <v>1</v>
      </c>
    </row>
    <row r="85" spans="1:17" x14ac:dyDescent="0.25">
      <c r="A85" s="15">
        <v>8003879954</v>
      </c>
      <c r="B85" s="15">
        <v>19</v>
      </c>
      <c r="C85" s="15">
        <v>22122017</v>
      </c>
      <c r="D85" s="15">
        <v>345</v>
      </c>
      <c r="E85" s="15" t="s">
        <v>27</v>
      </c>
      <c r="F85" s="15">
        <v>9938</v>
      </c>
      <c r="G85" s="15" t="s">
        <v>1337</v>
      </c>
      <c r="H85" s="14">
        <v>224.25</v>
      </c>
      <c r="I85" s="15" t="s">
        <v>28</v>
      </c>
      <c r="J85" s="14">
        <v>289517.63</v>
      </c>
      <c r="K85" s="15" t="s">
        <v>26</v>
      </c>
      <c r="L85" s="15">
        <v>205231</v>
      </c>
      <c r="M85" s="15" t="s">
        <v>1338</v>
      </c>
      <c r="O85" s="15">
        <v>1</v>
      </c>
      <c r="P85" s="15" t="s">
        <v>1339</v>
      </c>
      <c r="Q85" s="15" t="s">
        <v>74</v>
      </c>
    </row>
    <row r="86" spans="1:17" x14ac:dyDescent="0.25">
      <c r="A86" s="15">
        <v>8003879954</v>
      </c>
      <c r="B86" s="15">
        <v>18</v>
      </c>
      <c r="C86" s="15">
        <v>22122017</v>
      </c>
      <c r="D86" s="15">
        <v>60</v>
      </c>
      <c r="E86" s="15" t="s">
        <v>43</v>
      </c>
      <c r="F86" s="15">
        <v>9938</v>
      </c>
      <c r="G86" s="15" t="s">
        <v>1340</v>
      </c>
      <c r="H86" s="14">
        <v>1396.07</v>
      </c>
      <c r="I86" s="15" t="s">
        <v>28</v>
      </c>
      <c r="J86" s="14">
        <v>289741.88</v>
      </c>
      <c r="K86" s="15" t="s">
        <v>26</v>
      </c>
      <c r="L86" s="15">
        <v>205229</v>
      </c>
      <c r="M86" s="15" t="s">
        <v>1341</v>
      </c>
      <c r="O86" s="15">
        <v>1</v>
      </c>
      <c r="P86" s="15" t="s">
        <v>1342</v>
      </c>
      <c r="Q86" s="15" t="s">
        <v>74</v>
      </c>
    </row>
    <row r="87" spans="1:17" x14ac:dyDescent="0.25">
      <c r="A87" s="15">
        <v>8003879954</v>
      </c>
      <c r="B87" s="15">
        <v>17</v>
      </c>
      <c r="C87" s="15">
        <v>22122017</v>
      </c>
      <c r="D87" s="15">
        <v>345</v>
      </c>
      <c r="E87" s="15" t="s">
        <v>27</v>
      </c>
      <c r="F87" s="15">
        <v>9938</v>
      </c>
      <c r="G87" s="15" t="s">
        <v>1343</v>
      </c>
      <c r="H87" s="14">
        <v>209.1</v>
      </c>
      <c r="I87" s="15" t="s">
        <v>28</v>
      </c>
      <c r="J87" s="14">
        <v>291137.95</v>
      </c>
      <c r="K87" s="15" t="s">
        <v>26</v>
      </c>
      <c r="L87" s="15">
        <v>205230</v>
      </c>
      <c r="M87" s="15" t="s">
        <v>1344</v>
      </c>
      <c r="O87" s="15">
        <v>1</v>
      </c>
      <c r="P87" s="15" t="s">
        <v>1345</v>
      </c>
      <c r="Q87" s="15" t="s">
        <v>74</v>
      </c>
    </row>
    <row r="88" spans="1:17" x14ac:dyDescent="0.25">
      <c r="A88" s="15">
        <v>8003879954</v>
      </c>
      <c r="B88" s="15">
        <v>16</v>
      </c>
      <c r="C88" s="15">
        <v>22122017</v>
      </c>
      <c r="D88" s="15">
        <v>341</v>
      </c>
      <c r="E88" s="15" t="s">
        <v>29</v>
      </c>
      <c r="F88" s="15">
        <v>9938</v>
      </c>
      <c r="G88" s="15" t="s">
        <v>1346</v>
      </c>
      <c r="H88" s="14">
        <v>3500</v>
      </c>
      <c r="I88" s="15" t="s">
        <v>28</v>
      </c>
      <c r="J88" s="14">
        <v>291347.05</v>
      </c>
      <c r="K88" s="15" t="s">
        <v>26</v>
      </c>
      <c r="L88" s="15">
        <v>205229</v>
      </c>
      <c r="M88" s="15" t="s">
        <v>1347</v>
      </c>
      <c r="O88" s="15">
        <v>1</v>
      </c>
      <c r="P88" s="15" t="s">
        <v>1348</v>
      </c>
      <c r="Q88" s="15" t="s">
        <v>1349</v>
      </c>
    </row>
    <row r="89" spans="1:17" x14ac:dyDescent="0.25">
      <c r="A89" s="15">
        <v>8003879954</v>
      </c>
      <c r="B89" s="15">
        <v>15</v>
      </c>
      <c r="C89" s="15">
        <v>22122017</v>
      </c>
      <c r="D89" s="15">
        <v>299</v>
      </c>
      <c r="E89" s="15" t="s">
        <v>30</v>
      </c>
      <c r="F89" s="15">
        <v>9938</v>
      </c>
      <c r="G89" s="15" t="s">
        <v>1346</v>
      </c>
      <c r="H89" s="14">
        <v>0.01</v>
      </c>
      <c r="I89" s="15" t="s">
        <v>28</v>
      </c>
      <c r="J89" s="14">
        <v>294847.05</v>
      </c>
      <c r="K89" s="15" t="s">
        <v>26</v>
      </c>
      <c r="L89" s="15">
        <v>205229</v>
      </c>
      <c r="M89" s="15" t="s">
        <v>1350</v>
      </c>
      <c r="O89" s="15">
        <v>1</v>
      </c>
    </row>
    <row r="90" spans="1:17" x14ac:dyDescent="0.25">
      <c r="A90" s="15">
        <v>8003879954</v>
      </c>
      <c r="B90" s="15">
        <v>14</v>
      </c>
      <c r="C90" s="15">
        <v>22122017</v>
      </c>
      <c r="D90" s="15">
        <v>489</v>
      </c>
      <c r="E90" s="15" t="s">
        <v>31</v>
      </c>
      <c r="F90" s="15">
        <v>9938</v>
      </c>
      <c r="G90" s="15" t="s">
        <v>1346</v>
      </c>
      <c r="H90" s="14">
        <v>0.1</v>
      </c>
      <c r="I90" s="15" t="s">
        <v>28</v>
      </c>
      <c r="J90" s="14">
        <v>294847.06</v>
      </c>
      <c r="K90" s="15" t="s">
        <v>26</v>
      </c>
      <c r="L90" s="15">
        <v>205229</v>
      </c>
      <c r="M90" s="15" t="s">
        <v>1350</v>
      </c>
      <c r="O90" s="15">
        <v>1</v>
      </c>
    </row>
    <row r="91" spans="1:17" x14ac:dyDescent="0.25">
      <c r="A91" s="15">
        <v>8003879954</v>
      </c>
      <c r="B91" s="15">
        <v>13</v>
      </c>
      <c r="C91" s="15">
        <v>22122017</v>
      </c>
      <c r="D91" s="15">
        <v>60</v>
      </c>
      <c r="E91" s="15" t="s">
        <v>43</v>
      </c>
      <c r="F91" s="15">
        <v>9938</v>
      </c>
      <c r="G91" s="15" t="s">
        <v>1351</v>
      </c>
      <c r="H91" s="14">
        <v>500</v>
      </c>
      <c r="I91" s="15" t="s">
        <v>28</v>
      </c>
      <c r="J91" s="14">
        <v>294847.15999999997</v>
      </c>
      <c r="K91" s="15" t="s">
        <v>26</v>
      </c>
      <c r="L91" s="15">
        <v>205229</v>
      </c>
      <c r="M91" s="15" t="s">
        <v>1352</v>
      </c>
      <c r="O91" s="15">
        <v>1</v>
      </c>
      <c r="P91" s="15" t="s">
        <v>1353</v>
      </c>
      <c r="Q91" s="15" t="s">
        <v>74</v>
      </c>
    </row>
    <row r="92" spans="1:17" x14ac:dyDescent="0.25">
      <c r="A92" s="15">
        <v>8003879954</v>
      </c>
      <c r="B92" s="15">
        <v>12</v>
      </c>
      <c r="C92" s="15">
        <v>22122017</v>
      </c>
      <c r="D92" s="15">
        <v>345</v>
      </c>
      <c r="E92" s="15" t="s">
        <v>27</v>
      </c>
      <c r="F92" s="15">
        <v>9938</v>
      </c>
      <c r="G92" s="15" t="s">
        <v>1354</v>
      </c>
      <c r="H92" s="14">
        <v>2940.1</v>
      </c>
      <c r="I92" s="15" t="s">
        <v>28</v>
      </c>
      <c r="J92" s="14">
        <v>295347.15999999997</v>
      </c>
      <c r="K92" s="15" t="s">
        <v>26</v>
      </c>
      <c r="L92" s="15">
        <v>205229</v>
      </c>
      <c r="M92" s="15" t="s">
        <v>1355</v>
      </c>
      <c r="O92" s="15">
        <v>1</v>
      </c>
      <c r="P92" s="15" t="s">
        <v>1356</v>
      </c>
      <c r="Q92" s="15" t="s">
        <v>74</v>
      </c>
    </row>
    <row r="93" spans="1:17" x14ac:dyDescent="0.25">
      <c r="A93" s="15">
        <v>8003879954</v>
      </c>
      <c r="B93" s="15">
        <v>11</v>
      </c>
      <c r="C93" s="15">
        <v>22122017</v>
      </c>
      <c r="D93" s="15">
        <v>341</v>
      </c>
      <c r="E93" s="15" t="s">
        <v>29</v>
      </c>
      <c r="F93" s="15">
        <v>9938</v>
      </c>
      <c r="G93" s="15" t="s">
        <v>1357</v>
      </c>
      <c r="H93" s="14">
        <v>583</v>
      </c>
      <c r="I93" s="15" t="s">
        <v>28</v>
      </c>
      <c r="J93" s="14">
        <v>298287.26</v>
      </c>
      <c r="K93" s="15" t="s">
        <v>26</v>
      </c>
      <c r="L93" s="15">
        <v>205229</v>
      </c>
      <c r="M93" s="15" t="s">
        <v>384</v>
      </c>
      <c r="O93" s="15">
        <v>1</v>
      </c>
      <c r="P93" s="15" t="s">
        <v>1358</v>
      </c>
      <c r="Q93" s="15" t="s">
        <v>1359</v>
      </c>
    </row>
    <row r="94" spans="1:17" x14ac:dyDescent="0.25">
      <c r="A94" s="15">
        <v>8003879954</v>
      </c>
      <c r="B94" s="15">
        <v>10</v>
      </c>
      <c r="C94" s="15">
        <v>22122017</v>
      </c>
      <c r="D94" s="15">
        <v>299</v>
      </c>
      <c r="E94" s="15" t="s">
        <v>30</v>
      </c>
      <c r="F94" s="15">
        <v>9938</v>
      </c>
      <c r="G94" s="15" t="s">
        <v>1357</v>
      </c>
      <c r="H94" s="14">
        <v>0.01</v>
      </c>
      <c r="I94" s="15" t="s">
        <v>28</v>
      </c>
      <c r="J94" s="14">
        <v>298870.26</v>
      </c>
      <c r="K94" s="15" t="s">
        <v>26</v>
      </c>
      <c r="L94" s="15">
        <v>205229</v>
      </c>
      <c r="M94" s="15" t="s">
        <v>1360</v>
      </c>
      <c r="O94" s="15">
        <v>1</v>
      </c>
    </row>
    <row r="95" spans="1:17" x14ac:dyDescent="0.25">
      <c r="A95" s="15">
        <v>8003879954</v>
      </c>
      <c r="B95" s="15">
        <v>9</v>
      </c>
      <c r="C95" s="15">
        <v>22122017</v>
      </c>
      <c r="D95" s="15">
        <v>489</v>
      </c>
      <c r="E95" s="15" t="s">
        <v>31</v>
      </c>
      <c r="F95" s="15">
        <v>9938</v>
      </c>
      <c r="G95" s="15" t="s">
        <v>1357</v>
      </c>
      <c r="H95" s="14">
        <v>0.1</v>
      </c>
      <c r="I95" s="15" t="s">
        <v>28</v>
      </c>
      <c r="J95" s="14">
        <v>298870.27</v>
      </c>
      <c r="K95" s="15" t="s">
        <v>26</v>
      </c>
      <c r="L95" s="15">
        <v>205229</v>
      </c>
      <c r="M95" s="15" t="s">
        <v>1360</v>
      </c>
      <c r="O95" s="15">
        <v>1</v>
      </c>
    </row>
    <row r="96" spans="1:17" x14ac:dyDescent="0.25">
      <c r="A96" s="15">
        <v>8003879954</v>
      </c>
      <c r="B96" s="15">
        <v>8</v>
      </c>
      <c r="C96" s="15">
        <v>22122017</v>
      </c>
      <c r="D96" s="15">
        <v>345</v>
      </c>
      <c r="E96" s="15" t="s">
        <v>27</v>
      </c>
      <c r="F96" s="15">
        <v>9938</v>
      </c>
      <c r="G96" s="15" t="s">
        <v>1361</v>
      </c>
      <c r="H96" s="14">
        <v>299.95999999999998</v>
      </c>
      <c r="I96" s="15" t="s">
        <v>28</v>
      </c>
      <c r="J96" s="14">
        <v>298870.37</v>
      </c>
      <c r="K96" s="15" t="s">
        <v>26</v>
      </c>
      <c r="L96" s="15">
        <v>205229</v>
      </c>
      <c r="M96" s="15" t="s">
        <v>1362</v>
      </c>
      <c r="O96" s="15">
        <v>1</v>
      </c>
      <c r="P96" s="15" t="s">
        <v>1363</v>
      </c>
      <c r="Q96" s="15" t="s">
        <v>74</v>
      </c>
    </row>
    <row r="97" spans="1:18" x14ac:dyDescent="0.25">
      <c r="A97" s="15">
        <v>8003879954</v>
      </c>
      <c r="B97" s="15">
        <v>7</v>
      </c>
      <c r="C97" s="15">
        <v>22122017</v>
      </c>
      <c r="D97" s="15">
        <v>345</v>
      </c>
      <c r="E97" s="15" t="s">
        <v>27</v>
      </c>
      <c r="F97" s="15">
        <v>9938</v>
      </c>
      <c r="G97" s="15" t="s">
        <v>1364</v>
      </c>
      <c r="H97" s="14">
        <v>207.65</v>
      </c>
      <c r="I97" s="15" t="s">
        <v>28</v>
      </c>
      <c r="J97" s="14">
        <v>299170.33</v>
      </c>
      <c r="K97" s="15" t="s">
        <v>26</v>
      </c>
      <c r="L97" s="15">
        <v>205228</v>
      </c>
      <c r="M97" s="15" t="s">
        <v>1365</v>
      </c>
      <c r="O97" s="15">
        <v>1</v>
      </c>
      <c r="P97" s="15" t="s">
        <v>1366</v>
      </c>
      <c r="Q97" s="15" t="s">
        <v>74</v>
      </c>
    </row>
    <row r="98" spans="1:18" x14ac:dyDescent="0.25">
      <c r="A98" s="15">
        <v>8003879954</v>
      </c>
      <c r="B98" s="15">
        <v>6</v>
      </c>
      <c r="C98" s="15">
        <v>22122017</v>
      </c>
      <c r="D98" s="15">
        <v>345</v>
      </c>
      <c r="E98" s="15" t="s">
        <v>27</v>
      </c>
      <c r="F98" s="15">
        <v>9938</v>
      </c>
      <c r="G98" s="15" t="s">
        <v>1367</v>
      </c>
      <c r="H98" s="14">
        <v>30</v>
      </c>
      <c r="I98" s="15" t="s">
        <v>28</v>
      </c>
      <c r="J98" s="14">
        <v>299377.98</v>
      </c>
      <c r="K98" s="15" t="s">
        <v>26</v>
      </c>
      <c r="L98" s="15">
        <v>205228</v>
      </c>
      <c r="M98" s="15" t="s">
        <v>1368</v>
      </c>
      <c r="O98" s="15">
        <v>1</v>
      </c>
      <c r="P98" s="15" t="s">
        <v>1369</v>
      </c>
      <c r="Q98" s="15" t="s">
        <v>126</v>
      </c>
    </row>
    <row r="99" spans="1:18" x14ac:dyDescent="0.25">
      <c r="A99" s="15">
        <v>8003879954</v>
      </c>
      <c r="B99" s="15">
        <v>5</v>
      </c>
      <c r="C99" s="15">
        <v>22122017</v>
      </c>
      <c r="D99" s="15">
        <v>141</v>
      </c>
      <c r="E99" s="15" t="s">
        <v>36</v>
      </c>
      <c r="F99" s="15">
        <v>4969</v>
      </c>
      <c r="G99" s="15" t="s">
        <v>1370</v>
      </c>
      <c r="H99" s="14">
        <v>180</v>
      </c>
      <c r="I99" s="15" t="s">
        <v>26</v>
      </c>
      <c r="J99" s="14">
        <v>299407.98</v>
      </c>
      <c r="K99" s="15" t="s">
        <v>26</v>
      </c>
      <c r="L99" s="15">
        <v>173056</v>
      </c>
      <c r="M99" s="15" t="s">
        <v>53</v>
      </c>
      <c r="O99" s="15">
        <v>1</v>
      </c>
      <c r="P99" s="15" t="s">
        <v>1371</v>
      </c>
      <c r="Q99" s="15" t="s">
        <v>1372</v>
      </c>
      <c r="R99" s="15" t="s">
        <v>1373</v>
      </c>
    </row>
    <row r="100" spans="1:18" x14ac:dyDescent="0.25">
      <c r="A100" s="15">
        <v>8003879954</v>
      </c>
      <c r="B100" s="15">
        <v>4</v>
      </c>
      <c r="C100" s="15">
        <v>22122017</v>
      </c>
      <c r="D100" s="15">
        <v>5</v>
      </c>
      <c r="E100" s="15" t="s">
        <v>42</v>
      </c>
      <c r="H100" s="14">
        <v>270000</v>
      </c>
      <c r="I100" s="15" t="s">
        <v>26</v>
      </c>
      <c r="J100" s="14">
        <v>299227.98</v>
      </c>
      <c r="K100" s="15" t="s">
        <v>26</v>
      </c>
      <c r="L100" s="15">
        <v>154058</v>
      </c>
      <c r="M100" s="15" t="s">
        <v>1374</v>
      </c>
      <c r="O100" s="15">
        <v>1</v>
      </c>
      <c r="P100" s="15" t="s">
        <v>1375</v>
      </c>
      <c r="Q100" s="15" t="s">
        <v>59</v>
      </c>
      <c r="R100" s="15" t="s">
        <v>60</v>
      </c>
    </row>
    <row r="101" spans="1:18" x14ac:dyDescent="0.25">
      <c r="A101" s="15">
        <v>8003879954</v>
      </c>
      <c r="B101" s="15">
        <v>3</v>
      </c>
      <c r="C101" s="15">
        <v>22122017</v>
      </c>
      <c r="D101" s="15">
        <v>299</v>
      </c>
      <c r="E101" s="15" t="s">
        <v>30</v>
      </c>
      <c r="F101" s="15">
        <v>3471</v>
      </c>
      <c r="G101" s="15" t="s">
        <v>1376</v>
      </c>
      <c r="H101" s="14">
        <v>0.13</v>
      </c>
      <c r="I101" s="15" t="s">
        <v>28</v>
      </c>
      <c r="J101" s="14">
        <v>29227.98</v>
      </c>
      <c r="K101" s="15" t="s">
        <v>26</v>
      </c>
      <c r="L101" s="15">
        <v>101455</v>
      </c>
      <c r="M101" s="15" t="s">
        <v>53</v>
      </c>
      <c r="O101" s="15">
        <v>1</v>
      </c>
    </row>
    <row r="102" spans="1:18" x14ac:dyDescent="0.25">
      <c r="A102" s="15">
        <v>8003879954</v>
      </c>
      <c r="B102" s="15">
        <v>2</v>
      </c>
      <c r="C102" s="15">
        <v>22122017</v>
      </c>
      <c r="D102" s="15">
        <v>489</v>
      </c>
      <c r="E102" s="15" t="s">
        <v>1377</v>
      </c>
      <c r="F102" s="15">
        <v>3471</v>
      </c>
      <c r="G102" s="15" t="s">
        <v>1376</v>
      </c>
      <c r="H102" s="4">
        <v>2.1</v>
      </c>
      <c r="I102" s="15" t="s">
        <v>28</v>
      </c>
      <c r="J102" s="14">
        <v>29228.11</v>
      </c>
      <c r="K102" s="15" t="s">
        <v>26</v>
      </c>
      <c r="L102" s="15">
        <v>101455</v>
      </c>
      <c r="M102" s="15" t="s">
        <v>53</v>
      </c>
      <c r="O102" s="15">
        <v>1</v>
      </c>
    </row>
    <row r="103" spans="1:18" x14ac:dyDescent="0.25">
      <c r="A103" s="15">
        <v>8003879954</v>
      </c>
      <c r="B103" s="15">
        <v>1</v>
      </c>
      <c r="C103" s="15">
        <v>22122017</v>
      </c>
      <c r="D103" s="15">
        <v>669</v>
      </c>
      <c r="E103" s="15" t="s">
        <v>51</v>
      </c>
      <c r="F103" s="15">
        <v>1712</v>
      </c>
      <c r="G103" s="15" t="s">
        <v>1378</v>
      </c>
      <c r="H103" s="14">
        <v>36459.019999999997</v>
      </c>
      <c r="I103" s="15" t="s">
        <v>28</v>
      </c>
      <c r="J103" s="14">
        <v>29230.21</v>
      </c>
      <c r="K103" s="15" t="s">
        <v>26</v>
      </c>
      <c r="L103" s="15">
        <v>90839</v>
      </c>
      <c r="M103" s="15" t="s">
        <v>1379</v>
      </c>
      <c r="O103" s="15">
        <v>1</v>
      </c>
      <c r="P103" s="15" t="s">
        <v>1380</v>
      </c>
      <c r="R103" s="15" t="s">
        <v>1381</v>
      </c>
    </row>
    <row r="104" spans="1:18" x14ac:dyDescent="0.25">
      <c r="A104" s="15">
        <v>8003879954</v>
      </c>
      <c r="B104" s="15">
        <v>40</v>
      </c>
      <c r="C104" s="15">
        <v>21122017</v>
      </c>
      <c r="D104" s="15">
        <v>299</v>
      </c>
      <c r="E104" s="15" t="str">
        <f>"GST"</f>
        <v>GST</v>
      </c>
      <c r="H104" s="14">
        <v>0.03</v>
      </c>
      <c r="I104" s="15" t="s">
        <v>28</v>
      </c>
      <c r="J104" s="14">
        <v>65689.23</v>
      </c>
      <c r="K104" s="15" t="s">
        <v>26</v>
      </c>
      <c r="L104" s="15">
        <v>10326</v>
      </c>
      <c r="M104" s="15" t="str">
        <f>""</f>
        <v/>
      </c>
      <c r="O104" s="15">
        <v>1</v>
      </c>
    </row>
    <row r="105" spans="1:18" x14ac:dyDescent="0.25">
      <c r="A105" s="15">
        <v>8003879954</v>
      </c>
      <c r="B105" s="15">
        <v>39</v>
      </c>
      <c r="C105" s="15">
        <v>21122017</v>
      </c>
      <c r="D105" s="15">
        <v>819</v>
      </c>
      <c r="E105" s="15" t="str">
        <f>"CHQ PROCESSING FEE"</f>
        <v>CHQ PROCESSING FEE</v>
      </c>
      <c r="H105" s="14">
        <v>0.5</v>
      </c>
      <c r="I105" s="15" t="s">
        <v>28</v>
      </c>
      <c r="J105" s="14">
        <v>65689.259999999995</v>
      </c>
      <c r="K105" s="15" t="s">
        <v>26</v>
      </c>
      <c r="L105" s="15">
        <v>10326</v>
      </c>
      <c r="M105" s="15" t="str">
        <f>""</f>
        <v/>
      </c>
      <c r="O105" s="15">
        <v>1</v>
      </c>
    </row>
    <row r="106" spans="1:18" x14ac:dyDescent="0.25">
      <c r="A106" s="15">
        <v>8003879954</v>
      </c>
      <c r="B106" s="15">
        <v>38</v>
      </c>
      <c r="C106" s="15">
        <v>21122017</v>
      </c>
      <c r="D106" s="15">
        <v>321</v>
      </c>
      <c r="E106" s="15" t="str">
        <f>"HOUSE CHQ DR"</f>
        <v>HOUSE CHQ DR</v>
      </c>
      <c r="F106" s="15">
        <v>0</v>
      </c>
      <c r="G106" s="15" t="str">
        <f>"00688087"</f>
        <v>00688087</v>
      </c>
      <c r="H106" s="14">
        <v>893.35</v>
      </c>
      <c r="I106" s="15" t="s">
        <v>28</v>
      </c>
      <c r="J106" s="14">
        <v>65689.759999999995</v>
      </c>
      <c r="K106" s="15" t="s">
        <v>26</v>
      </c>
      <c r="L106" s="15">
        <v>10224</v>
      </c>
      <c r="M106" s="15" t="str">
        <f>""</f>
        <v/>
      </c>
      <c r="O106" s="15">
        <v>1</v>
      </c>
    </row>
    <row r="107" spans="1:18" x14ac:dyDescent="0.25">
      <c r="A107" s="15">
        <v>8003879954</v>
      </c>
      <c r="B107" s="15">
        <v>37</v>
      </c>
      <c r="C107" s="15">
        <v>21122017</v>
      </c>
      <c r="D107" s="15">
        <v>141</v>
      </c>
      <c r="E107" s="15" t="str">
        <f>"I-FUNDS TR FROM SA"</f>
        <v>I-FUNDS TR FROM SA</v>
      </c>
      <c r="F107" s="15">
        <v>4967</v>
      </c>
      <c r="G107" s="15" t="str">
        <f>"54324"</f>
        <v>54324</v>
      </c>
      <c r="H107" s="14">
        <v>208.05</v>
      </c>
      <c r="I107" s="15" t="s">
        <v>26</v>
      </c>
      <c r="J107" s="14">
        <v>66583.11</v>
      </c>
      <c r="K107" s="15" t="s">
        <v>26</v>
      </c>
      <c r="L107" s="15">
        <v>185012</v>
      </c>
      <c r="M107" s="15" t="str">
        <f>""</f>
        <v/>
      </c>
      <c r="O107" s="15">
        <v>1</v>
      </c>
      <c r="P107" s="15" t="str">
        <f>"Taipei seminar"</f>
        <v>Taipei seminar</v>
      </c>
      <c r="Q107" s="15" t="str">
        <f>"Tipei seminar"</f>
        <v>Tipei seminar</v>
      </c>
      <c r="R107" s="15" t="str">
        <f>"OOI CHOK YAN"</f>
        <v>OOI CHOK YAN</v>
      </c>
    </row>
    <row r="108" spans="1:18" x14ac:dyDescent="0.25">
      <c r="A108" s="15">
        <v>8003879954</v>
      </c>
      <c r="B108" s="15">
        <v>36</v>
      </c>
      <c r="C108" s="15">
        <v>21122017</v>
      </c>
      <c r="D108" s="15">
        <v>341</v>
      </c>
      <c r="E108" s="15" t="str">
        <f>"TR IBG"</f>
        <v>TR IBG</v>
      </c>
      <c r="F108" s="15">
        <v>9938</v>
      </c>
      <c r="G108" s="15" t="str">
        <f>"24460115"</f>
        <v>24460115</v>
      </c>
      <c r="H108" s="14">
        <v>207.8</v>
      </c>
      <c r="I108" s="15" t="s">
        <v>28</v>
      </c>
      <c r="J108" s="14">
        <v>66375.06</v>
      </c>
      <c r="K108" s="15" t="s">
        <v>26</v>
      </c>
      <c r="L108" s="15">
        <v>184520</v>
      </c>
      <c r="M108" s="15" t="str">
        <f>"YTL COMMUNICATIONS S"</f>
        <v>YTL COMMUNICATIONS S</v>
      </c>
      <c r="O108" s="15">
        <v>1</v>
      </c>
      <c r="P108" s="15" t="str">
        <f>"PGTEFT2838"</f>
        <v>PGTEFT2838</v>
      </c>
      <c r="Q108" s="15" t="str">
        <f>"813783509 813783531"</f>
        <v>813783509 813783531</v>
      </c>
    </row>
    <row r="109" spans="1:18" x14ac:dyDescent="0.25">
      <c r="A109" s="15">
        <v>8003879954</v>
      </c>
      <c r="B109" s="15">
        <v>35</v>
      </c>
      <c r="C109" s="15">
        <v>21122017</v>
      </c>
      <c r="D109" s="15">
        <v>299</v>
      </c>
      <c r="E109" s="15" t="str">
        <f>"GST"</f>
        <v>GST</v>
      </c>
      <c r="F109" s="15">
        <v>9938</v>
      </c>
      <c r="G109" s="15" t="str">
        <f>"24460115"</f>
        <v>24460115</v>
      </c>
      <c r="H109" s="14">
        <v>0.01</v>
      </c>
      <c r="I109" s="15" t="s">
        <v>28</v>
      </c>
      <c r="J109" s="14">
        <v>66582.86</v>
      </c>
      <c r="K109" s="15" t="s">
        <v>26</v>
      </c>
      <c r="L109" s="15">
        <v>184520</v>
      </c>
      <c r="M109" s="15" t="str">
        <f>"PGTEFT2838          813783509 813783531"</f>
        <v>PGTEFT2838          813783509 813783531</v>
      </c>
      <c r="O109" s="15">
        <v>1</v>
      </c>
    </row>
    <row r="110" spans="1:18" x14ac:dyDescent="0.25">
      <c r="A110" s="15">
        <v>8003879954</v>
      </c>
      <c r="B110" s="15">
        <v>34</v>
      </c>
      <c r="C110" s="15">
        <v>21122017</v>
      </c>
      <c r="D110" s="15">
        <v>489</v>
      </c>
      <c r="E110" s="15" t="str">
        <f>"OTHER TRANSFER FEE"</f>
        <v>OTHER TRANSFER FEE</v>
      </c>
      <c r="F110" s="15">
        <v>9938</v>
      </c>
      <c r="G110" s="15" t="str">
        <f>"24460115"</f>
        <v>24460115</v>
      </c>
      <c r="H110" s="14">
        <v>0.1</v>
      </c>
      <c r="I110" s="15" t="s">
        <v>28</v>
      </c>
      <c r="J110" s="14">
        <v>66582.87</v>
      </c>
      <c r="K110" s="15" t="s">
        <v>26</v>
      </c>
      <c r="L110" s="15">
        <v>184520</v>
      </c>
      <c r="M110" s="15" t="str">
        <f>"PGTEFT2838          813783509 813783531"</f>
        <v>PGTEFT2838          813783509 813783531</v>
      </c>
      <c r="O110" s="15">
        <v>1</v>
      </c>
    </row>
    <row r="111" spans="1:18" x14ac:dyDescent="0.25">
      <c r="A111" s="15">
        <v>8003879954</v>
      </c>
      <c r="B111" s="15">
        <v>33</v>
      </c>
      <c r="C111" s="15">
        <v>21122017</v>
      </c>
      <c r="D111" s="15">
        <v>341</v>
      </c>
      <c r="E111" s="15" t="str">
        <f>"TR IBG"</f>
        <v>TR IBG</v>
      </c>
      <c r="F111" s="15">
        <v>9938</v>
      </c>
      <c r="G111" s="15" t="str">
        <f>"24460271"</f>
        <v>24460271</v>
      </c>
      <c r="H111" s="14">
        <v>339.2</v>
      </c>
      <c r="I111" s="15" t="s">
        <v>28</v>
      </c>
      <c r="J111" s="14">
        <v>66582.97</v>
      </c>
      <c r="K111" s="15" t="s">
        <v>26</v>
      </c>
      <c r="L111" s="15">
        <v>184520</v>
      </c>
      <c r="M111" s="15" t="str">
        <f>"VCREATE SDN BHD"</f>
        <v>VCREATE SDN BHD</v>
      </c>
      <c r="O111" s="15">
        <v>1</v>
      </c>
      <c r="P111" s="15" t="str">
        <f>"PGTEFT2836"</f>
        <v>PGTEFT2836</v>
      </c>
      <c r="Q111" s="15" t="str">
        <f>"1125-17"</f>
        <v>1125-17</v>
      </c>
    </row>
    <row r="112" spans="1:18" x14ac:dyDescent="0.25">
      <c r="A112" s="15">
        <v>8003879954</v>
      </c>
      <c r="B112" s="15">
        <v>32</v>
      </c>
      <c r="C112" s="15">
        <v>21122017</v>
      </c>
      <c r="D112" s="15">
        <v>299</v>
      </c>
      <c r="E112" s="15" t="str">
        <f>"GST"</f>
        <v>GST</v>
      </c>
      <c r="F112" s="15">
        <v>9938</v>
      </c>
      <c r="G112" s="15" t="str">
        <f>"24460271"</f>
        <v>24460271</v>
      </c>
      <c r="H112" s="14">
        <v>0.01</v>
      </c>
      <c r="I112" s="15" t="s">
        <v>28</v>
      </c>
      <c r="J112" s="14">
        <v>66922.17</v>
      </c>
      <c r="K112" s="15" t="s">
        <v>26</v>
      </c>
      <c r="L112" s="15">
        <v>184520</v>
      </c>
      <c r="M112" s="15" t="str">
        <f>"PGTEFT2836          1125-17"</f>
        <v>PGTEFT2836          1125-17</v>
      </c>
      <c r="O112" s="15">
        <v>1</v>
      </c>
    </row>
    <row r="113" spans="1:17" x14ac:dyDescent="0.25">
      <c r="A113" s="15">
        <v>8003879954</v>
      </c>
      <c r="B113" s="15">
        <v>31</v>
      </c>
      <c r="C113" s="15">
        <v>21122017</v>
      </c>
      <c r="D113" s="15">
        <v>489</v>
      </c>
      <c r="E113" s="15" t="str">
        <f>"OTHER TRANSFER FEE"</f>
        <v>OTHER TRANSFER FEE</v>
      </c>
      <c r="F113" s="15">
        <v>9938</v>
      </c>
      <c r="G113" s="15" t="str">
        <f>"24460271"</f>
        <v>24460271</v>
      </c>
      <c r="H113" s="14">
        <v>0.1</v>
      </c>
      <c r="I113" s="15" t="s">
        <v>28</v>
      </c>
      <c r="J113" s="14">
        <v>66922.179999999993</v>
      </c>
      <c r="K113" s="15" t="s">
        <v>26</v>
      </c>
      <c r="L113" s="15">
        <v>184520</v>
      </c>
      <c r="M113" s="15" t="str">
        <f>"PGTEFT2836          1125-17"</f>
        <v>PGTEFT2836          1125-17</v>
      </c>
      <c r="O113" s="15">
        <v>1</v>
      </c>
    </row>
    <row r="114" spans="1:17" x14ac:dyDescent="0.25">
      <c r="A114" s="15">
        <v>8003879954</v>
      </c>
      <c r="B114" s="15">
        <v>30</v>
      </c>
      <c r="C114" s="15">
        <v>21122017</v>
      </c>
      <c r="D114" s="15">
        <v>341</v>
      </c>
      <c r="E114" s="15" t="str">
        <f>"TR IBG"</f>
        <v>TR IBG</v>
      </c>
      <c r="F114" s="15">
        <v>9938</v>
      </c>
      <c r="G114" s="15" t="str">
        <f>"24460238"</f>
        <v>24460238</v>
      </c>
      <c r="H114" s="14">
        <v>104.1</v>
      </c>
      <c r="I114" s="15" t="s">
        <v>28</v>
      </c>
      <c r="J114" s="14">
        <v>66922.28</v>
      </c>
      <c r="K114" s="15" t="s">
        <v>26</v>
      </c>
      <c r="L114" s="15">
        <v>184520</v>
      </c>
      <c r="M114" s="15" t="str">
        <f>"WEB ASP SDN BHD"</f>
        <v>WEB ASP SDN BHD</v>
      </c>
      <c r="O114" s="15">
        <v>1</v>
      </c>
      <c r="P114" s="15" t="str">
        <f>"PGTEFT2837"</f>
        <v>PGTEFT2837</v>
      </c>
      <c r="Q114" s="15" t="str">
        <f>"1618-3542"</f>
        <v>1618-3542</v>
      </c>
    </row>
    <row r="115" spans="1:17" x14ac:dyDescent="0.25">
      <c r="A115" s="15">
        <v>8003879954</v>
      </c>
      <c r="B115" s="15">
        <v>29</v>
      </c>
      <c r="C115" s="15">
        <v>21122017</v>
      </c>
      <c r="D115" s="15">
        <v>299</v>
      </c>
      <c r="E115" s="15" t="str">
        <f>"GST"</f>
        <v>GST</v>
      </c>
      <c r="F115" s="15">
        <v>9938</v>
      </c>
      <c r="G115" s="15" t="str">
        <f>"24460238"</f>
        <v>24460238</v>
      </c>
      <c r="H115" s="14">
        <v>0.01</v>
      </c>
      <c r="I115" s="15" t="s">
        <v>28</v>
      </c>
      <c r="J115" s="14">
        <v>67026.38</v>
      </c>
      <c r="K115" s="15" t="s">
        <v>26</v>
      </c>
      <c r="L115" s="15">
        <v>184520</v>
      </c>
      <c r="M115" s="15" t="str">
        <f>"PGTEFT2837          1618-3542"</f>
        <v>PGTEFT2837          1618-3542</v>
      </c>
      <c r="O115" s="15">
        <v>1</v>
      </c>
    </row>
    <row r="116" spans="1:17" x14ac:dyDescent="0.25">
      <c r="A116" s="15">
        <v>8003879954</v>
      </c>
      <c r="B116" s="15">
        <v>28</v>
      </c>
      <c r="C116" s="15">
        <v>21122017</v>
      </c>
      <c r="D116" s="15">
        <v>489</v>
      </c>
      <c r="E116" s="15" t="str">
        <f>"OTHER TRANSFER FEE"</f>
        <v>OTHER TRANSFER FEE</v>
      </c>
      <c r="F116" s="15">
        <v>9938</v>
      </c>
      <c r="G116" s="15" t="str">
        <f>"24460238"</f>
        <v>24460238</v>
      </c>
      <c r="H116" s="14">
        <v>0.1</v>
      </c>
      <c r="I116" s="15" t="s">
        <v>28</v>
      </c>
      <c r="J116" s="14">
        <v>67026.39</v>
      </c>
      <c r="K116" s="15" t="s">
        <v>26</v>
      </c>
      <c r="L116" s="15">
        <v>184520</v>
      </c>
      <c r="M116" s="15" t="str">
        <f>"PGTEFT2837          1618-3542"</f>
        <v>PGTEFT2837          1618-3542</v>
      </c>
      <c r="O116" s="15">
        <v>1</v>
      </c>
    </row>
    <row r="117" spans="1:17" x14ac:dyDescent="0.25">
      <c r="A117" s="15">
        <v>8003879954</v>
      </c>
      <c r="B117" s="15">
        <v>27</v>
      </c>
      <c r="C117" s="15">
        <v>21122017</v>
      </c>
      <c r="D117" s="15">
        <v>341</v>
      </c>
      <c r="E117" s="15" t="str">
        <f>"TR IBG"</f>
        <v>TR IBG</v>
      </c>
      <c r="F117" s="15">
        <v>9938</v>
      </c>
      <c r="G117" s="15" t="str">
        <f>"24460047"</f>
        <v>24460047</v>
      </c>
      <c r="H117" s="14">
        <v>1020</v>
      </c>
      <c r="I117" s="15" t="s">
        <v>28</v>
      </c>
      <c r="J117" s="14">
        <v>67026.490000000005</v>
      </c>
      <c r="K117" s="15" t="s">
        <v>26</v>
      </c>
      <c r="L117" s="15">
        <v>184519</v>
      </c>
      <c r="M117" s="15" t="str">
        <f>"YONG SUH YEN"</f>
        <v>YONG SUH YEN</v>
      </c>
      <c r="O117" s="15">
        <v>1</v>
      </c>
      <c r="P117" s="15" t="str">
        <f>"PGTEFT2839"</f>
        <v>PGTEFT2839</v>
      </c>
      <c r="Q117" s="15" t="str">
        <f>"WELCOMING RECEPTION"</f>
        <v>WELCOMING RECEPTION</v>
      </c>
    </row>
    <row r="118" spans="1:17" x14ac:dyDescent="0.25">
      <c r="A118" s="15">
        <v>8003879954</v>
      </c>
      <c r="B118" s="15">
        <v>26</v>
      </c>
      <c r="C118" s="15">
        <v>21122017</v>
      </c>
      <c r="D118" s="15">
        <v>299</v>
      </c>
      <c r="E118" s="15" t="str">
        <f>"GST"</f>
        <v>GST</v>
      </c>
      <c r="F118" s="15">
        <v>9938</v>
      </c>
      <c r="G118" s="15" t="str">
        <f>"24460047"</f>
        <v>24460047</v>
      </c>
      <c r="H118" s="14">
        <v>0.01</v>
      </c>
      <c r="I118" s="15" t="s">
        <v>28</v>
      </c>
      <c r="J118" s="14">
        <v>68046.490000000005</v>
      </c>
      <c r="K118" s="15" t="s">
        <v>26</v>
      </c>
      <c r="L118" s="15">
        <v>184519</v>
      </c>
      <c r="M118" s="15" t="str">
        <f>"PGTEFT2839          WELCOMING RECEPTION"</f>
        <v>PGTEFT2839          WELCOMING RECEPTION</v>
      </c>
      <c r="O118" s="15">
        <v>1</v>
      </c>
    </row>
    <row r="119" spans="1:17" x14ac:dyDescent="0.25">
      <c r="A119" s="15">
        <v>8003879954</v>
      </c>
      <c r="B119" s="15">
        <v>25</v>
      </c>
      <c r="C119" s="15">
        <v>21122017</v>
      </c>
      <c r="D119" s="15">
        <v>489</v>
      </c>
      <c r="E119" s="15" t="str">
        <f>"OTHER TRANSFER FEE"</f>
        <v>OTHER TRANSFER FEE</v>
      </c>
      <c r="F119" s="15">
        <v>9938</v>
      </c>
      <c r="G119" s="15" t="str">
        <f>"24460047"</f>
        <v>24460047</v>
      </c>
      <c r="H119" s="14">
        <v>0.1</v>
      </c>
      <c r="I119" s="15" t="s">
        <v>28</v>
      </c>
      <c r="J119" s="14">
        <v>68046.5</v>
      </c>
      <c r="K119" s="15" t="s">
        <v>26</v>
      </c>
      <c r="L119" s="15">
        <v>184519</v>
      </c>
      <c r="M119" s="15" t="str">
        <f>"PGTEFT2839          WELCOMING RECEPTION"</f>
        <v>PGTEFT2839          WELCOMING RECEPTION</v>
      </c>
      <c r="O119" s="15">
        <v>1</v>
      </c>
    </row>
    <row r="120" spans="1:17" x14ac:dyDescent="0.25">
      <c r="A120" s="15">
        <v>8003879954</v>
      </c>
      <c r="B120" s="15">
        <v>24</v>
      </c>
      <c r="C120" s="15">
        <v>21122017</v>
      </c>
      <c r="D120" s="15">
        <v>341</v>
      </c>
      <c r="E120" s="15" t="str">
        <f>"TR IBG"</f>
        <v>TR IBG</v>
      </c>
      <c r="F120" s="15">
        <v>9938</v>
      </c>
      <c r="G120" s="15" t="str">
        <f>"24460327"</f>
        <v>24460327</v>
      </c>
      <c r="H120" s="14">
        <v>2438</v>
      </c>
      <c r="I120" s="15" t="s">
        <v>28</v>
      </c>
      <c r="J120" s="14">
        <v>68046.600000000006</v>
      </c>
      <c r="K120" s="15" t="s">
        <v>26</v>
      </c>
      <c r="L120" s="15">
        <v>184519</v>
      </c>
      <c r="M120" s="15" t="str">
        <f>"TLM EVENT SDN BHD"</f>
        <v>TLM EVENT SDN BHD</v>
      </c>
      <c r="O120" s="15">
        <v>1</v>
      </c>
      <c r="P120" s="15" t="str">
        <f>"PGTEFT2835"</f>
        <v>PGTEFT2835</v>
      </c>
      <c r="Q120" s="15" t="str">
        <f>"INV17-072"</f>
        <v>INV17-072</v>
      </c>
    </row>
    <row r="121" spans="1:17" x14ac:dyDescent="0.25">
      <c r="A121" s="15">
        <v>8003879954</v>
      </c>
      <c r="B121" s="15">
        <v>23</v>
      </c>
      <c r="C121" s="15">
        <v>21122017</v>
      </c>
      <c r="D121" s="15">
        <v>299</v>
      </c>
      <c r="E121" s="15" t="str">
        <f>"GST"</f>
        <v>GST</v>
      </c>
      <c r="F121" s="15">
        <v>9938</v>
      </c>
      <c r="G121" s="15" t="str">
        <f>"24460327"</f>
        <v>24460327</v>
      </c>
      <c r="H121" s="14">
        <v>0.01</v>
      </c>
      <c r="I121" s="15" t="s">
        <v>28</v>
      </c>
      <c r="J121" s="14">
        <v>70484.600000000006</v>
      </c>
      <c r="K121" s="15" t="s">
        <v>26</v>
      </c>
      <c r="L121" s="15">
        <v>184519</v>
      </c>
      <c r="M121" s="15" t="str">
        <f>"PGTEFT2835          INV17-072"</f>
        <v>PGTEFT2835          INV17-072</v>
      </c>
      <c r="O121" s="15">
        <v>1</v>
      </c>
    </row>
    <row r="122" spans="1:17" x14ac:dyDescent="0.25">
      <c r="A122" s="15">
        <v>8003879954</v>
      </c>
      <c r="B122" s="15">
        <v>22</v>
      </c>
      <c r="C122" s="15">
        <v>21122017</v>
      </c>
      <c r="D122" s="15">
        <v>489</v>
      </c>
      <c r="E122" s="15" t="str">
        <f>"OTHER TRANSFER FEE"</f>
        <v>OTHER TRANSFER FEE</v>
      </c>
      <c r="F122" s="15">
        <v>9938</v>
      </c>
      <c r="G122" s="15" t="str">
        <f>"24460327"</f>
        <v>24460327</v>
      </c>
      <c r="H122" s="14">
        <v>0.1</v>
      </c>
      <c r="I122" s="15" t="s">
        <v>28</v>
      </c>
      <c r="J122" s="14">
        <v>70484.61</v>
      </c>
      <c r="K122" s="15" t="s">
        <v>26</v>
      </c>
      <c r="L122" s="15">
        <v>184519</v>
      </c>
      <c r="M122" s="15" t="str">
        <f>"PGTEFT2835          INV17-072"</f>
        <v>PGTEFT2835          INV17-072</v>
      </c>
      <c r="O122" s="15">
        <v>1</v>
      </c>
    </row>
    <row r="123" spans="1:17" x14ac:dyDescent="0.25">
      <c r="A123" s="15">
        <v>8003879954</v>
      </c>
      <c r="B123" s="15">
        <v>21</v>
      </c>
      <c r="C123" s="15">
        <v>21122017</v>
      </c>
      <c r="D123" s="15">
        <v>60</v>
      </c>
      <c r="E123" s="15" t="str">
        <f>"TR TO C/A"</f>
        <v>TR TO C/A</v>
      </c>
      <c r="F123" s="15">
        <v>9938</v>
      </c>
      <c r="G123" s="15" t="str">
        <f>"24460695"</f>
        <v>24460695</v>
      </c>
      <c r="H123" s="14">
        <v>7800</v>
      </c>
      <c r="I123" s="15" t="s">
        <v>28</v>
      </c>
      <c r="J123" s="14">
        <v>70484.710000000006</v>
      </c>
      <c r="K123" s="15" t="s">
        <v>26</v>
      </c>
      <c r="L123" s="15">
        <v>184235</v>
      </c>
      <c r="M123" s="15" t="str">
        <f>"CUSTOMMADE LUGGAGE T HOOI CERAMICS &amp; GIF"</f>
        <v>CUSTOMMADE LUGGAGE T HOOI CERAMICS &amp; GIF</v>
      </c>
      <c r="O123" s="15">
        <v>1</v>
      </c>
      <c r="P123" s="15" t="str">
        <f>"PGTEFT2831"</f>
        <v>PGTEFT2831</v>
      </c>
      <c r="Q123" s="15" t="str">
        <f>"INV2869"</f>
        <v>INV2869</v>
      </c>
    </row>
    <row r="124" spans="1:17" x14ac:dyDescent="0.25">
      <c r="A124" s="15">
        <v>8003879954</v>
      </c>
      <c r="B124" s="15">
        <v>20</v>
      </c>
      <c r="C124" s="15">
        <v>21122017</v>
      </c>
      <c r="D124" s="15">
        <v>341</v>
      </c>
      <c r="E124" s="15" t="str">
        <f>"TR IBG"</f>
        <v>TR IBG</v>
      </c>
      <c r="F124" s="15">
        <v>9938</v>
      </c>
      <c r="G124" s="15" t="str">
        <f>"24460816"</f>
        <v>24460816</v>
      </c>
      <c r="H124" s="14">
        <v>1272</v>
      </c>
      <c r="I124" s="15" t="s">
        <v>28</v>
      </c>
      <c r="J124" s="14">
        <v>78284.710000000006</v>
      </c>
      <c r="K124" s="15" t="s">
        <v>26</v>
      </c>
      <c r="L124" s="15">
        <v>184234</v>
      </c>
      <c r="M124" s="15" t="str">
        <f>"CAPITAL ONE LEISURE"</f>
        <v>CAPITAL ONE LEISURE</v>
      </c>
      <c r="O124" s="15">
        <v>1</v>
      </c>
      <c r="P124" s="15" t="str">
        <f>"PGTEFT2829"</f>
        <v>PGTEFT2829</v>
      </c>
      <c r="Q124" s="15" t="str">
        <f>"INV957"</f>
        <v>INV957</v>
      </c>
    </row>
    <row r="125" spans="1:17" x14ac:dyDescent="0.25">
      <c r="A125" s="15">
        <v>8003879954</v>
      </c>
      <c r="B125" s="15">
        <v>19</v>
      </c>
      <c r="C125" s="15">
        <v>21122017</v>
      </c>
      <c r="D125" s="15">
        <v>299</v>
      </c>
      <c r="E125" s="15" t="str">
        <f>"GST"</f>
        <v>GST</v>
      </c>
      <c r="F125" s="15">
        <v>9938</v>
      </c>
      <c r="G125" s="15" t="str">
        <f>"24460816"</f>
        <v>24460816</v>
      </c>
      <c r="H125" s="14">
        <v>0.01</v>
      </c>
      <c r="I125" s="15" t="s">
        <v>28</v>
      </c>
      <c r="J125" s="14">
        <v>79556.710000000006</v>
      </c>
      <c r="K125" s="15" t="s">
        <v>26</v>
      </c>
      <c r="L125" s="15">
        <v>184234</v>
      </c>
      <c r="M125" s="15" t="str">
        <f>"PGTEFT2829          INV957"</f>
        <v>PGTEFT2829          INV957</v>
      </c>
      <c r="O125" s="15">
        <v>1</v>
      </c>
    </row>
    <row r="126" spans="1:17" x14ac:dyDescent="0.25">
      <c r="A126" s="15">
        <v>8003879954</v>
      </c>
      <c r="B126" s="15">
        <v>18</v>
      </c>
      <c r="C126" s="15">
        <v>21122017</v>
      </c>
      <c r="D126" s="15">
        <v>489</v>
      </c>
      <c r="E126" s="15" t="str">
        <f>"OTHER TRANSFER FEE"</f>
        <v>OTHER TRANSFER FEE</v>
      </c>
      <c r="F126" s="15">
        <v>9938</v>
      </c>
      <c r="G126" s="15" t="str">
        <f>"24460816"</f>
        <v>24460816</v>
      </c>
      <c r="H126" s="14">
        <v>0.1</v>
      </c>
      <c r="I126" s="15" t="s">
        <v>28</v>
      </c>
      <c r="J126" s="14">
        <v>79556.72</v>
      </c>
      <c r="K126" s="15" t="s">
        <v>26</v>
      </c>
      <c r="L126" s="15">
        <v>184234</v>
      </c>
      <c r="M126" s="15" t="str">
        <f>"PGTEFT2829          INV957"</f>
        <v>PGTEFT2829          INV957</v>
      </c>
      <c r="O126" s="15">
        <v>1</v>
      </c>
    </row>
    <row r="127" spans="1:17" x14ac:dyDescent="0.25">
      <c r="A127" s="15">
        <v>8003879954</v>
      </c>
      <c r="B127" s="15">
        <v>17</v>
      </c>
      <c r="C127" s="15">
        <v>21122017</v>
      </c>
      <c r="D127" s="15">
        <v>341</v>
      </c>
      <c r="E127" s="15" t="str">
        <f>"TR IBG"</f>
        <v>TR IBG</v>
      </c>
      <c r="F127" s="15">
        <v>9938</v>
      </c>
      <c r="G127" s="15" t="str">
        <f>"24460749"</f>
        <v>24460749</v>
      </c>
      <c r="H127" s="14">
        <v>1720</v>
      </c>
      <c r="I127" s="15" t="s">
        <v>28</v>
      </c>
      <c r="J127" s="14">
        <v>79556.820000000007</v>
      </c>
      <c r="K127" s="15" t="s">
        <v>26</v>
      </c>
      <c r="L127" s="15">
        <v>184231</v>
      </c>
      <c r="M127" s="15" t="str">
        <f>"CHONG LEE CHOO"</f>
        <v>CHONG LEE CHOO</v>
      </c>
      <c r="O127" s="15">
        <v>1</v>
      </c>
      <c r="P127" s="15" t="str">
        <f>"PGTEFT2830"</f>
        <v>PGTEFT2830</v>
      </c>
      <c r="Q127" s="15" t="str">
        <f>"TRANSLATION"</f>
        <v>TRANSLATION</v>
      </c>
    </row>
    <row r="128" spans="1:17" x14ac:dyDescent="0.25">
      <c r="A128" s="15">
        <v>8003879954</v>
      </c>
      <c r="B128" s="15">
        <v>16</v>
      </c>
      <c r="C128" s="15">
        <v>21122017</v>
      </c>
      <c r="D128" s="15">
        <v>299</v>
      </c>
      <c r="E128" s="15" t="str">
        <f>"GST"</f>
        <v>GST</v>
      </c>
      <c r="F128" s="15">
        <v>9938</v>
      </c>
      <c r="G128" s="15" t="str">
        <f>"24460749"</f>
        <v>24460749</v>
      </c>
      <c r="H128" s="14">
        <v>0.01</v>
      </c>
      <c r="I128" s="15" t="s">
        <v>28</v>
      </c>
      <c r="J128" s="14">
        <v>81276.820000000007</v>
      </c>
      <c r="K128" s="15" t="s">
        <v>26</v>
      </c>
      <c r="L128" s="15">
        <v>184231</v>
      </c>
      <c r="M128" s="15" t="str">
        <f>"PGTEFT2830          TRANSLATION"</f>
        <v>PGTEFT2830          TRANSLATION</v>
      </c>
      <c r="O128" s="15">
        <v>1</v>
      </c>
    </row>
    <row r="129" spans="1:17" x14ac:dyDescent="0.25">
      <c r="A129" s="15">
        <v>8003879954</v>
      </c>
      <c r="B129" s="15">
        <v>15</v>
      </c>
      <c r="C129" s="15">
        <v>21122017</v>
      </c>
      <c r="D129" s="15">
        <v>489</v>
      </c>
      <c r="E129" s="15" t="str">
        <f>"OTHER TRANSFER FEE"</f>
        <v>OTHER TRANSFER FEE</v>
      </c>
      <c r="F129" s="15">
        <v>9938</v>
      </c>
      <c r="G129" s="15" t="str">
        <f>"24460749"</f>
        <v>24460749</v>
      </c>
      <c r="H129" s="14">
        <v>0.1</v>
      </c>
      <c r="I129" s="15" t="s">
        <v>28</v>
      </c>
      <c r="J129" s="14">
        <v>81276.83</v>
      </c>
      <c r="K129" s="15" t="s">
        <v>26</v>
      </c>
      <c r="L129" s="15">
        <v>184231</v>
      </c>
      <c r="M129" s="15" t="str">
        <f>"PGTEFT2830          TRANSLATION"</f>
        <v>PGTEFT2830          TRANSLATION</v>
      </c>
      <c r="O129" s="15">
        <v>1</v>
      </c>
    </row>
    <row r="130" spans="1:17" x14ac:dyDescent="0.25">
      <c r="A130" s="15">
        <v>8003879954</v>
      </c>
      <c r="B130" s="15">
        <v>14</v>
      </c>
      <c r="C130" s="15">
        <v>21122017</v>
      </c>
      <c r="D130" s="15">
        <v>60</v>
      </c>
      <c r="E130" s="15" t="str">
        <f>"TR TO C/A"</f>
        <v>TR TO C/A</v>
      </c>
      <c r="F130" s="15">
        <v>9938</v>
      </c>
      <c r="G130" s="15" t="str">
        <f>"24460953"</f>
        <v>24460953</v>
      </c>
      <c r="H130" s="14">
        <v>360.4</v>
      </c>
      <c r="I130" s="15" t="s">
        <v>28</v>
      </c>
      <c r="J130" s="14">
        <v>81276.929999999993</v>
      </c>
      <c r="K130" s="15" t="s">
        <v>26</v>
      </c>
      <c r="L130" s="15">
        <v>184231</v>
      </c>
      <c r="M130" s="15" t="str">
        <f>"ACC-NOV'17 CORPORATENET SDN BH"</f>
        <v>ACC-NOV'17 CORPORATENET SDN BH</v>
      </c>
      <c r="O130" s="15">
        <v>1</v>
      </c>
      <c r="P130" s="15" t="str">
        <f>"PGTEFT2828"</f>
        <v>PGTEFT2828</v>
      </c>
      <c r="Q130" s="15" t="str">
        <f>"CNET-17-3491"</f>
        <v>CNET-17-3491</v>
      </c>
    </row>
    <row r="131" spans="1:17" x14ac:dyDescent="0.25">
      <c r="A131" s="15">
        <v>8003879954</v>
      </c>
      <c r="B131" s="15">
        <v>13</v>
      </c>
      <c r="C131" s="15">
        <v>21122017</v>
      </c>
      <c r="D131" s="15">
        <v>341</v>
      </c>
      <c r="E131" s="15" t="str">
        <f>"TR IBG"</f>
        <v>TR IBG</v>
      </c>
      <c r="F131" s="15">
        <v>9938</v>
      </c>
      <c r="G131" s="15" t="str">
        <f>"24460498"</f>
        <v>24460498</v>
      </c>
      <c r="H131" s="14">
        <v>5353</v>
      </c>
      <c r="I131" s="15" t="s">
        <v>28</v>
      </c>
      <c r="J131" s="14">
        <v>81637.33</v>
      </c>
      <c r="K131" s="15" t="s">
        <v>26</v>
      </c>
      <c r="L131" s="15">
        <v>184233</v>
      </c>
      <c r="M131" s="15" t="str">
        <f>"TWO PRO PRINT SERVIC"</f>
        <v>TWO PRO PRINT SERVIC</v>
      </c>
      <c r="O131" s="15">
        <v>1</v>
      </c>
      <c r="P131" s="15" t="str">
        <f>"PGTEFT2833"</f>
        <v>PGTEFT2833</v>
      </c>
      <c r="Q131" s="15" t="str">
        <f>"INV1470 1549"</f>
        <v>INV1470 1549</v>
      </c>
    </row>
    <row r="132" spans="1:17" x14ac:dyDescent="0.25">
      <c r="A132" s="15">
        <v>8003879954</v>
      </c>
      <c r="B132" s="15">
        <v>12</v>
      </c>
      <c r="C132" s="15">
        <v>21122017</v>
      </c>
      <c r="D132" s="15">
        <v>299</v>
      </c>
      <c r="E132" s="15" t="str">
        <f>"GST"</f>
        <v>GST</v>
      </c>
      <c r="F132" s="15">
        <v>9938</v>
      </c>
      <c r="G132" s="15" t="str">
        <f>"24460498"</f>
        <v>24460498</v>
      </c>
      <c r="H132" s="14">
        <v>0.01</v>
      </c>
      <c r="I132" s="15" t="s">
        <v>28</v>
      </c>
      <c r="J132" s="14">
        <v>86990.33</v>
      </c>
      <c r="K132" s="15" t="s">
        <v>26</v>
      </c>
      <c r="L132" s="15">
        <v>184233</v>
      </c>
      <c r="M132" s="15" t="str">
        <f>"PGTEFT2833          INV1470 1549"</f>
        <v>PGTEFT2833          INV1470 1549</v>
      </c>
      <c r="O132" s="15">
        <v>1</v>
      </c>
    </row>
    <row r="133" spans="1:17" x14ac:dyDescent="0.25">
      <c r="A133" s="15">
        <v>8003879954</v>
      </c>
      <c r="B133" s="15">
        <v>11</v>
      </c>
      <c r="C133" s="15">
        <v>21122017</v>
      </c>
      <c r="D133" s="15">
        <v>489</v>
      </c>
      <c r="E133" s="15" t="str">
        <f>"OTHER TRANSFER FEE"</f>
        <v>OTHER TRANSFER FEE</v>
      </c>
      <c r="F133" s="15">
        <v>9938</v>
      </c>
      <c r="G133" s="15" t="str">
        <f>"24460498"</f>
        <v>24460498</v>
      </c>
      <c r="H133" s="14">
        <v>0.1</v>
      </c>
      <c r="I133" s="15" t="s">
        <v>28</v>
      </c>
      <c r="J133" s="14">
        <v>86990.34</v>
      </c>
      <c r="K133" s="15" t="s">
        <v>26</v>
      </c>
      <c r="L133" s="15">
        <v>184233</v>
      </c>
      <c r="M133" s="15" t="str">
        <f>"PGTEFT2833          INV1470 1549"</f>
        <v>PGTEFT2833          INV1470 1549</v>
      </c>
      <c r="O133" s="15">
        <v>1</v>
      </c>
    </row>
    <row r="134" spans="1:17" x14ac:dyDescent="0.25">
      <c r="A134" s="15">
        <v>8003879954</v>
      </c>
      <c r="B134" s="15">
        <v>10</v>
      </c>
      <c r="C134" s="15">
        <v>21122017</v>
      </c>
      <c r="D134" s="15">
        <v>345</v>
      </c>
      <c r="E134" s="15" t="str">
        <f>"TR TO SAVINGS"</f>
        <v>TR TO SAVINGS</v>
      </c>
      <c r="F134" s="15">
        <v>9938</v>
      </c>
      <c r="G134" s="15" t="str">
        <f>"24461024"</f>
        <v>24461024</v>
      </c>
      <c r="H134" s="14">
        <v>1980</v>
      </c>
      <c r="I134" s="15" t="s">
        <v>28</v>
      </c>
      <c r="J134" s="14">
        <v>86990.44</v>
      </c>
      <c r="K134" s="15" t="s">
        <v>26</v>
      </c>
      <c r="L134" s="15">
        <v>184233</v>
      </c>
      <c r="M134" s="15" t="str">
        <f>"ADVANCE AZFALYZA BINTI ABDU"</f>
        <v>ADVANCE AZFALYZA BINTI ABDU</v>
      </c>
      <c r="O134" s="15">
        <v>1</v>
      </c>
      <c r="P134" s="15" t="str">
        <f>"PGTEFT2827"</f>
        <v>PGTEFT2827</v>
      </c>
      <c r="Q134" s="15" t="str">
        <f>"WELCOMING RECEPTION"</f>
        <v>WELCOMING RECEPTION</v>
      </c>
    </row>
    <row r="135" spans="1:17" x14ac:dyDescent="0.25">
      <c r="A135" s="15">
        <v>8003879954</v>
      </c>
      <c r="B135" s="15">
        <v>9</v>
      </c>
      <c r="C135" s="15">
        <v>21122017</v>
      </c>
      <c r="D135" s="15">
        <v>341</v>
      </c>
      <c r="E135" s="15" t="str">
        <f>"TR IBG"</f>
        <v>TR IBG</v>
      </c>
      <c r="F135" s="15">
        <v>9938</v>
      </c>
      <c r="G135" s="15" t="str">
        <f>"24461406"</f>
        <v>24461406</v>
      </c>
      <c r="H135" s="14">
        <v>4557.05</v>
      </c>
      <c r="I135" s="15" t="s">
        <v>28</v>
      </c>
      <c r="J135" s="14">
        <v>88970.44</v>
      </c>
      <c r="K135" s="15" t="s">
        <v>26</v>
      </c>
      <c r="L135" s="15">
        <v>184231</v>
      </c>
      <c r="M135" s="15" t="str">
        <f>"BAYVIEW HOTEL SDN BH"</f>
        <v>BAYVIEW HOTEL SDN BH</v>
      </c>
      <c r="O135" s="15">
        <v>1</v>
      </c>
      <c r="P135" s="15" t="str">
        <f>"PGTEFT2688"</f>
        <v>PGTEFT2688</v>
      </c>
      <c r="Q135" s="15" t="str">
        <f>"INV0578"</f>
        <v>INV0578</v>
      </c>
    </row>
    <row r="136" spans="1:17" x14ac:dyDescent="0.25">
      <c r="A136" s="15">
        <v>8003879954</v>
      </c>
      <c r="B136" s="15">
        <v>8</v>
      </c>
      <c r="C136" s="15">
        <v>21122017</v>
      </c>
      <c r="D136" s="15">
        <v>299</v>
      </c>
      <c r="E136" s="15" t="str">
        <f>"GST"</f>
        <v>GST</v>
      </c>
      <c r="F136" s="15">
        <v>9938</v>
      </c>
      <c r="G136" s="15" t="str">
        <f>"24461406"</f>
        <v>24461406</v>
      </c>
      <c r="H136" s="14">
        <v>0.01</v>
      </c>
      <c r="I136" s="15" t="s">
        <v>28</v>
      </c>
      <c r="J136" s="14">
        <v>93527.49</v>
      </c>
      <c r="K136" s="15" t="s">
        <v>26</v>
      </c>
      <c r="L136" s="15">
        <v>184231</v>
      </c>
      <c r="M136" s="15" t="str">
        <f>"PGTEFT2688          INV0578"</f>
        <v>PGTEFT2688          INV0578</v>
      </c>
      <c r="O136" s="15">
        <v>1</v>
      </c>
    </row>
    <row r="137" spans="1:17" x14ac:dyDescent="0.25">
      <c r="A137" s="15">
        <v>8003879954</v>
      </c>
      <c r="B137" s="15">
        <v>7</v>
      </c>
      <c r="C137" s="15">
        <v>21122017</v>
      </c>
      <c r="D137" s="15">
        <v>489</v>
      </c>
      <c r="E137" s="15" t="str">
        <f>"OTHER TRANSFER FEE"</f>
        <v>OTHER TRANSFER FEE</v>
      </c>
      <c r="F137" s="15">
        <v>9938</v>
      </c>
      <c r="G137" s="15" t="str">
        <f>"24461406"</f>
        <v>24461406</v>
      </c>
      <c r="H137" s="14">
        <v>0.1</v>
      </c>
      <c r="I137" s="15" t="s">
        <v>28</v>
      </c>
      <c r="J137" s="14">
        <v>93527.5</v>
      </c>
      <c r="K137" s="15" t="s">
        <v>26</v>
      </c>
      <c r="L137" s="15">
        <v>184231</v>
      </c>
      <c r="M137" s="15" t="str">
        <f>"PGTEFT2688          INV0578"</f>
        <v>PGTEFT2688          INV0578</v>
      </c>
      <c r="O137" s="15">
        <v>1</v>
      </c>
    </row>
    <row r="138" spans="1:17" x14ac:dyDescent="0.25">
      <c r="A138" s="15">
        <v>8003879954</v>
      </c>
      <c r="B138" s="15">
        <v>6</v>
      </c>
      <c r="C138" s="15">
        <v>21122017</v>
      </c>
      <c r="D138" s="15">
        <v>341</v>
      </c>
      <c r="E138" s="15" t="str">
        <f>"TR IBG"</f>
        <v>TR IBG</v>
      </c>
      <c r="F138" s="15">
        <v>9938</v>
      </c>
      <c r="G138" s="15" t="str">
        <f>"24460397"</f>
        <v>24460397</v>
      </c>
      <c r="H138" s="14">
        <v>1540</v>
      </c>
      <c r="I138" s="15" t="s">
        <v>28</v>
      </c>
      <c r="J138" s="14">
        <v>93527.6</v>
      </c>
      <c r="K138" s="15" t="s">
        <v>26</v>
      </c>
      <c r="L138" s="15">
        <v>184231</v>
      </c>
      <c r="M138" s="15" t="str">
        <f>"TOUR &amp; INCENTIVE TRA"</f>
        <v>TOUR &amp; INCENTIVE TRA</v>
      </c>
      <c r="O138" s="15">
        <v>1</v>
      </c>
      <c r="P138" s="15" t="str">
        <f>"PGTEFT2834"</f>
        <v>PGTEFT2834</v>
      </c>
      <c r="Q138" s="15" t="str">
        <f>"PRO 1002-17"</f>
        <v>PRO 1002-17</v>
      </c>
    </row>
    <row r="139" spans="1:17" x14ac:dyDescent="0.25">
      <c r="A139" s="15">
        <v>8003879954</v>
      </c>
      <c r="B139" s="15">
        <v>5</v>
      </c>
      <c r="C139" s="15">
        <v>21122017</v>
      </c>
      <c r="D139" s="15">
        <v>299</v>
      </c>
      <c r="E139" s="15" t="str">
        <f>"GST"</f>
        <v>GST</v>
      </c>
      <c r="F139" s="15">
        <v>9938</v>
      </c>
      <c r="G139" s="15" t="str">
        <f>"24460397"</f>
        <v>24460397</v>
      </c>
      <c r="H139" s="14">
        <v>0.01</v>
      </c>
      <c r="I139" s="15" t="s">
        <v>28</v>
      </c>
      <c r="J139" s="14">
        <v>95067.6</v>
      </c>
      <c r="K139" s="15" t="s">
        <v>26</v>
      </c>
      <c r="L139" s="15">
        <v>184231</v>
      </c>
      <c r="M139" s="15" t="str">
        <f>"PGTEFT2834          PRO 1002-17"</f>
        <v>PGTEFT2834          PRO 1002-17</v>
      </c>
      <c r="O139" s="15">
        <v>1</v>
      </c>
    </row>
    <row r="140" spans="1:17" x14ac:dyDescent="0.25">
      <c r="A140" s="15">
        <v>8003879954</v>
      </c>
      <c r="B140" s="15">
        <v>4</v>
      </c>
      <c r="C140" s="15">
        <v>21122017</v>
      </c>
      <c r="D140" s="15">
        <v>489</v>
      </c>
      <c r="E140" s="15" t="str">
        <f>"OTHER TRANSFER FEE"</f>
        <v>OTHER TRANSFER FEE</v>
      </c>
      <c r="F140" s="15">
        <v>9938</v>
      </c>
      <c r="G140" s="15" t="str">
        <f>"24460397"</f>
        <v>24460397</v>
      </c>
      <c r="H140" s="14">
        <v>0.1</v>
      </c>
      <c r="I140" s="15" t="s">
        <v>28</v>
      </c>
      <c r="J140" s="14">
        <v>95067.61</v>
      </c>
      <c r="K140" s="15" t="s">
        <v>26</v>
      </c>
      <c r="L140" s="15">
        <v>184231</v>
      </c>
      <c r="M140" s="15" t="str">
        <f>"PGTEFT2834          PRO 1002-17"</f>
        <v>PGTEFT2834          PRO 1002-17</v>
      </c>
      <c r="O140" s="15">
        <v>1</v>
      </c>
    </row>
    <row r="141" spans="1:17" x14ac:dyDescent="0.25">
      <c r="A141" s="15">
        <v>8003879954</v>
      </c>
      <c r="B141" s="15">
        <v>3</v>
      </c>
      <c r="C141" s="15">
        <v>21122017</v>
      </c>
      <c r="D141" s="15">
        <v>341</v>
      </c>
      <c r="E141" s="15" t="str">
        <f>"TR IBG"</f>
        <v>TR IBG</v>
      </c>
      <c r="F141" s="15">
        <v>9938</v>
      </c>
      <c r="G141" s="15" t="str">
        <f>"24460566"</f>
        <v>24460566</v>
      </c>
      <c r="H141" s="14">
        <v>395.47</v>
      </c>
      <c r="I141" s="15" t="s">
        <v>28</v>
      </c>
      <c r="J141" s="14">
        <v>95067.71</v>
      </c>
      <c r="K141" s="15" t="s">
        <v>26</v>
      </c>
      <c r="L141" s="15">
        <v>184231</v>
      </c>
      <c r="M141" s="15" t="str">
        <f>"STERLING INSURANCE B"</f>
        <v>STERLING INSURANCE B</v>
      </c>
      <c r="O141" s="15">
        <v>1</v>
      </c>
      <c r="P141" s="15" t="str">
        <f>"PGTEFT2832"</f>
        <v>PGTEFT2832</v>
      </c>
      <c r="Q141" s="15" t="str">
        <f>"18-01696 01731 01831"</f>
        <v>18-01696 01731 01831</v>
      </c>
    </row>
    <row r="142" spans="1:17" x14ac:dyDescent="0.25">
      <c r="A142" s="15">
        <v>8003879954</v>
      </c>
      <c r="B142" s="15">
        <v>2</v>
      </c>
      <c r="C142" s="15">
        <v>21122017</v>
      </c>
      <c r="D142" s="15">
        <v>299</v>
      </c>
      <c r="E142" s="15" t="str">
        <f>"GST"</f>
        <v>GST</v>
      </c>
      <c r="F142" s="15">
        <v>9938</v>
      </c>
      <c r="G142" s="15" t="str">
        <f>"24460566"</f>
        <v>24460566</v>
      </c>
      <c r="H142" s="14">
        <v>0.01</v>
      </c>
      <c r="I142" s="15" t="s">
        <v>28</v>
      </c>
      <c r="J142" s="14">
        <v>95463.18</v>
      </c>
      <c r="K142" s="15" t="s">
        <v>26</v>
      </c>
      <c r="L142" s="15">
        <v>184231</v>
      </c>
      <c r="M142" s="15" t="str">
        <f>"PGTEFT2832          18-01696 01731 01831"</f>
        <v>PGTEFT2832          18-01696 01731 01831</v>
      </c>
      <c r="O142" s="15">
        <v>1</v>
      </c>
    </row>
    <row r="143" spans="1:17" x14ac:dyDescent="0.25">
      <c r="A143" s="15">
        <v>8003879954</v>
      </c>
      <c r="B143" s="15">
        <v>1</v>
      </c>
      <c r="C143" s="15">
        <v>21122017</v>
      </c>
      <c r="D143" s="15">
        <v>489</v>
      </c>
      <c r="E143" s="15" t="str">
        <f>"OTHER TRANSFER FEE"</f>
        <v>OTHER TRANSFER FEE</v>
      </c>
      <c r="F143" s="15">
        <v>9938</v>
      </c>
      <c r="G143" s="15" t="str">
        <f>"24460566"</f>
        <v>24460566</v>
      </c>
      <c r="H143" s="14">
        <v>0.1</v>
      </c>
      <c r="I143" s="15" t="s">
        <v>28</v>
      </c>
      <c r="J143" s="14">
        <v>95463.19</v>
      </c>
      <c r="K143" s="15" t="s">
        <v>26</v>
      </c>
      <c r="L143" s="15">
        <v>184231</v>
      </c>
      <c r="M143" s="15" t="str">
        <f>"PGTEFT2832          18-01696 01731 01831"</f>
        <v>PGTEFT2832          18-01696 01731 01831</v>
      </c>
      <c r="O143" s="15">
        <v>1</v>
      </c>
    </row>
    <row r="144" spans="1:17" x14ac:dyDescent="0.25">
      <c r="A144" s="15">
        <v>8003879954</v>
      </c>
      <c r="B144" s="15">
        <v>91</v>
      </c>
      <c r="C144" s="15">
        <v>20122017</v>
      </c>
      <c r="D144" s="15">
        <v>299</v>
      </c>
      <c r="E144" s="15" t="str">
        <f>"GST"</f>
        <v>GST</v>
      </c>
      <c r="H144" s="14">
        <v>0.03</v>
      </c>
      <c r="I144" s="15" t="s">
        <v>28</v>
      </c>
      <c r="J144" s="14">
        <v>95463.29</v>
      </c>
      <c r="K144" s="15" t="s">
        <v>26</v>
      </c>
      <c r="L144" s="15">
        <v>10402</v>
      </c>
      <c r="M144" s="15" t="str">
        <f>""</f>
        <v/>
      </c>
      <c r="O144" s="15">
        <v>1</v>
      </c>
    </row>
    <row r="145" spans="1:17" x14ac:dyDescent="0.25">
      <c r="A145" s="15">
        <v>8003879954</v>
      </c>
      <c r="B145" s="15">
        <v>90</v>
      </c>
      <c r="C145" s="15">
        <v>20122017</v>
      </c>
      <c r="D145" s="15">
        <v>819</v>
      </c>
      <c r="E145" s="15" t="str">
        <f>"CHQ PROCESSING FEE"</f>
        <v>CHQ PROCESSING FEE</v>
      </c>
      <c r="H145" s="14">
        <v>0.5</v>
      </c>
      <c r="I145" s="15" t="s">
        <v>28</v>
      </c>
      <c r="J145" s="14">
        <v>95463.32</v>
      </c>
      <c r="K145" s="15" t="s">
        <v>26</v>
      </c>
      <c r="L145" s="15">
        <v>10402</v>
      </c>
      <c r="M145" s="15" t="str">
        <f>""</f>
        <v/>
      </c>
      <c r="O145" s="15">
        <v>1</v>
      </c>
    </row>
    <row r="146" spans="1:17" x14ac:dyDescent="0.25">
      <c r="A146" s="15">
        <v>8003879954</v>
      </c>
      <c r="B146" s="15">
        <v>89</v>
      </c>
      <c r="C146" s="15">
        <v>20122017</v>
      </c>
      <c r="D146" s="15">
        <v>323</v>
      </c>
      <c r="E146" s="15" t="str">
        <f>"CLRG CHQ DR"</f>
        <v>CLRG CHQ DR</v>
      </c>
      <c r="F146" s="15">
        <v>0</v>
      </c>
      <c r="G146" s="15" t="str">
        <f>"00688086"</f>
        <v>00688086</v>
      </c>
      <c r="H146" s="14">
        <v>21244.52</v>
      </c>
      <c r="I146" s="15" t="s">
        <v>28</v>
      </c>
      <c r="J146" s="14">
        <v>95463.82</v>
      </c>
      <c r="K146" s="15" t="s">
        <v>26</v>
      </c>
      <c r="L146" s="15">
        <v>10240</v>
      </c>
      <c r="M146" s="15" t="str">
        <f>""</f>
        <v/>
      </c>
      <c r="O146" s="15">
        <v>1</v>
      </c>
    </row>
    <row r="147" spans="1:17" x14ac:dyDescent="0.25">
      <c r="A147" s="15">
        <v>8003879954</v>
      </c>
      <c r="B147" s="15">
        <v>88</v>
      </c>
      <c r="C147" s="15">
        <v>20122017</v>
      </c>
      <c r="D147" s="15">
        <v>341</v>
      </c>
      <c r="E147" s="15" t="str">
        <f>"TR IBG"</f>
        <v>TR IBG</v>
      </c>
      <c r="F147" s="15">
        <v>9938</v>
      </c>
      <c r="G147" s="15" t="str">
        <f>"24375862"</f>
        <v>24375862</v>
      </c>
      <c r="H147" s="14">
        <v>6370</v>
      </c>
      <c r="I147" s="15" t="s">
        <v>28</v>
      </c>
      <c r="J147" s="14">
        <v>116708.34</v>
      </c>
      <c r="K147" s="15" t="s">
        <v>26</v>
      </c>
      <c r="L147" s="15">
        <v>163724</v>
      </c>
      <c r="M147" s="15" t="str">
        <f>"DISCOVERY OVERLAND H"</f>
        <v>DISCOVERY OVERLAND H</v>
      </c>
      <c r="O147" s="15">
        <v>1</v>
      </c>
      <c r="P147" s="15" t="str">
        <f>"PGTEFT2796"</f>
        <v>PGTEFT2796</v>
      </c>
      <c r="Q147" s="15" t="str">
        <f>"INV734876 737737"</f>
        <v>INV734876 737737</v>
      </c>
    </row>
    <row r="148" spans="1:17" x14ac:dyDescent="0.25">
      <c r="A148" s="15">
        <v>8003879954</v>
      </c>
      <c r="B148" s="15">
        <v>87</v>
      </c>
      <c r="C148" s="15">
        <v>20122017</v>
      </c>
      <c r="D148" s="15">
        <v>299</v>
      </c>
      <c r="E148" s="15" t="str">
        <f>"GST"</f>
        <v>GST</v>
      </c>
      <c r="F148" s="15">
        <v>9938</v>
      </c>
      <c r="G148" s="15" t="str">
        <f>"24375862"</f>
        <v>24375862</v>
      </c>
      <c r="H148" s="14">
        <v>0.01</v>
      </c>
      <c r="I148" s="15" t="s">
        <v>28</v>
      </c>
      <c r="J148" s="14">
        <v>123078.34</v>
      </c>
      <c r="K148" s="15" t="s">
        <v>26</v>
      </c>
      <c r="L148" s="15">
        <v>163724</v>
      </c>
      <c r="M148" s="15" t="str">
        <f>"PGTEFT2796          INV734876 737737"</f>
        <v>PGTEFT2796          INV734876 737737</v>
      </c>
      <c r="O148" s="15">
        <v>1</v>
      </c>
    </row>
    <row r="149" spans="1:17" x14ac:dyDescent="0.25">
      <c r="A149" s="15">
        <v>8003879954</v>
      </c>
      <c r="B149" s="15">
        <v>86</v>
      </c>
      <c r="C149" s="15">
        <v>20122017</v>
      </c>
      <c r="D149" s="15">
        <v>489</v>
      </c>
      <c r="E149" s="15" t="str">
        <f>"OTHER TRANSFER FEE"</f>
        <v>OTHER TRANSFER FEE</v>
      </c>
      <c r="F149" s="15">
        <v>9938</v>
      </c>
      <c r="G149" s="15" t="str">
        <f>"24375862"</f>
        <v>24375862</v>
      </c>
      <c r="H149" s="14">
        <v>0.1</v>
      </c>
      <c r="I149" s="15" t="s">
        <v>28</v>
      </c>
      <c r="J149" s="14">
        <v>123078.35</v>
      </c>
      <c r="K149" s="15" t="s">
        <v>26</v>
      </c>
      <c r="L149" s="15">
        <v>163724</v>
      </c>
      <c r="M149" s="15" t="str">
        <f>"PGTEFT2796          INV734876 737737"</f>
        <v>PGTEFT2796          INV734876 737737</v>
      </c>
      <c r="O149" s="15">
        <v>1</v>
      </c>
    </row>
    <row r="150" spans="1:17" x14ac:dyDescent="0.25">
      <c r="A150" s="15">
        <v>8003879954</v>
      </c>
      <c r="B150" s="15">
        <v>85</v>
      </c>
      <c r="C150" s="15">
        <v>20122017</v>
      </c>
      <c r="D150" s="15">
        <v>341</v>
      </c>
      <c r="E150" s="15" t="str">
        <f>"TR IBG"</f>
        <v>TR IBG</v>
      </c>
      <c r="F150" s="15">
        <v>9938</v>
      </c>
      <c r="G150" s="15" t="str">
        <f>"24375866"</f>
        <v>24375866</v>
      </c>
      <c r="H150" s="14">
        <v>5172.8</v>
      </c>
      <c r="I150" s="15" t="s">
        <v>28</v>
      </c>
      <c r="J150" s="14">
        <v>123078.45</v>
      </c>
      <c r="K150" s="15" t="s">
        <v>26</v>
      </c>
      <c r="L150" s="15">
        <v>163722</v>
      </c>
      <c r="M150" s="15" t="str">
        <f>"CHEONG SENG CHAN SDN"</f>
        <v>CHEONG SENG CHAN SDN</v>
      </c>
      <c r="O150" s="15">
        <v>1</v>
      </c>
      <c r="P150" s="15" t="str">
        <f>"PGTEFT2795"</f>
        <v>PGTEFT2795</v>
      </c>
      <c r="Q150" s="15" t="str">
        <f>"INV9173 9324"</f>
        <v>INV9173 9324</v>
      </c>
    </row>
    <row r="151" spans="1:17" x14ac:dyDescent="0.25">
      <c r="A151" s="15">
        <v>8003879954</v>
      </c>
      <c r="B151" s="15">
        <v>84</v>
      </c>
      <c r="C151" s="15">
        <v>20122017</v>
      </c>
      <c r="D151" s="15">
        <v>299</v>
      </c>
      <c r="E151" s="15" t="str">
        <f>"GST"</f>
        <v>GST</v>
      </c>
      <c r="F151" s="15">
        <v>9938</v>
      </c>
      <c r="G151" s="15" t="str">
        <f>"24375866"</f>
        <v>24375866</v>
      </c>
      <c r="H151" s="14">
        <v>0.01</v>
      </c>
      <c r="I151" s="15" t="s">
        <v>28</v>
      </c>
      <c r="J151" s="14">
        <v>128251.25</v>
      </c>
      <c r="K151" s="15" t="s">
        <v>26</v>
      </c>
      <c r="L151" s="15">
        <v>163722</v>
      </c>
      <c r="M151" s="15" t="str">
        <f>"PGTEFT2795          INV9173 9324"</f>
        <v>PGTEFT2795          INV9173 9324</v>
      </c>
      <c r="O151" s="15">
        <v>1</v>
      </c>
    </row>
    <row r="152" spans="1:17" x14ac:dyDescent="0.25">
      <c r="A152" s="15">
        <v>8003879954</v>
      </c>
      <c r="B152" s="15">
        <v>83</v>
      </c>
      <c r="C152" s="15">
        <v>20122017</v>
      </c>
      <c r="D152" s="15">
        <v>489</v>
      </c>
      <c r="E152" s="15" t="str">
        <f>"OTHER TRANSFER FEE"</f>
        <v>OTHER TRANSFER FEE</v>
      </c>
      <c r="F152" s="15">
        <v>9938</v>
      </c>
      <c r="G152" s="15" t="str">
        <f>"24375866"</f>
        <v>24375866</v>
      </c>
      <c r="H152" s="14">
        <v>0.1</v>
      </c>
      <c r="I152" s="15" t="s">
        <v>28</v>
      </c>
      <c r="J152" s="14">
        <v>128251.26</v>
      </c>
      <c r="K152" s="15" t="s">
        <v>26</v>
      </c>
      <c r="L152" s="15">
        <v>163722</v>
      </c>
      <c r="M152" s="15" t="str">
        <f>"PGTEFT2795          INV9173 9324"</f>
        <v>PGTEFT2795          INV9173 9324</v>
      </c>
      <c r="O152" s="15">
        <v>1</v>
      </c>
    </row>
    <row r="153" spans="1:17" x14ac:dyDescent="0.25">
      <c r="A153" s="15">
        <v>8003879954</v>
      </c>
      <c r="B153" s="15">
        <v>82</v>
      </c>
      <c r="C153" s="15">
        <v>20122017</v>
      </c>
      <c r="D153" s="15">
        <v>341</v>
      </c>
      <c r="E153" s="15" t="str">
        <f>"TR IBG"</f>
        <v>TR IBG</v>
      </c>
      <c r="F153" s="15">
        <v>9938</v>
      </c>
      <c r="G153" s="15" t="str">
        <f>"24375871"</f>
        <v>24375871</v>
      </c>
      <c r="H153" s="14">
        <v>1560</v>
      </c>
      <c r="I153" s="15" t="s">
        <v>28</v>
      </c>
      <c r="J153" s="14">
        <v>128251.36</v>
      </c>
      <c r="K153" s="15" t="s">
        <v>26</v>
      </c>
      <c r="L153" s="15">
        <v>163723</v>
      </c>
      <c r="M153" s="15" t="str">
        <f>"CAC ACADEMY SDN BHD"</f>
        <v>CAC ACADEMY SDN BHD</v>
      </c>
      <c r="O153" s="15">
        <v>1</v>
      </c>
      <c r="P153" s="15" t="str">
        <f>"PGTEFT2794"</f>
        <v>PGTEFT2794</v>
      </c>
      <c r="Q153" s="15" t="str">
        <f>"PCET SUBSIDY"</f>
        <v>PCET SUBSIDY</v>
      </c>
    </row>
    <row r="154" spans="1:17" x14ac:dyDescent="0.25">
      <c r="A154" s="15">
        <v>8003879954</v>
      </c>
      <c r="B154" s="15">
        <v>81</v>
      </c>
      <c r="C154" s="15">
        <v>20122017</v>
      </c>
      <c r="D154" s="15">
        <v>299</v>
      </c>
      <c r="E154" s="15" t="str">
        <f>"GST"</f>
        <v>GST</v>
      </c>
      <c r="F154" s="15">
        <v>9938</v>
      </c>
      <c r="G154" s="15" t="str">
        <f>"24375871"</f>
        <v>24375871</v>
      </c>
      <c r="H154" s="14">
        <v>0.01</v>
      </c>
      <c r="I154" s="15" t="s">
        <v>28</v>
      </c>
      <c r="J154" s="14">
        <v>129811.36</v>
      </c>
      <c r="K154" s="15" t="s">
        <v>26</v>
      </c>
      <c r="L154" s="15">
        <v>163723</v>
      </c>
      <c r="M154" s="15" t="str">
        <f>"PGTEFT2794          PCET SUBSIDY"</f>
        <v>PGTEFT2794          PCET SUBSIDY</v>
      </c>
      <c r="O154" s="15">
        <v>1</v>
      </c>
    </row>
    <row r="155" spans="1:17" x14ac:dyDescent="0.25">
      <c r="A155" s="15">
        <v>8003879954</v>
      </c>
      <c r="B155" s="15">
        <v>80</v>
      </c>
      <c r="C155" s="15">
        <v>20122017</v>
      </c>
      <c r="D155" s="15">
        <v>489</v>
      </c>
      <c r="E155" s="15" t="str">
        <f>"OTHER TRANSFER FEE"</f>
        <v>OTHER TRANSFER FEE</v>
      </c>
      <c r="F155" s="15">
        <v>9938</v>
      </c>
      <c r="G155" s="15" t="str">
        <f>"24375871"</f>
        <v>24375871</v>
      </c>
      <c r="H155" s="14">
        <v>0.1</v>
      </c>
      <c r="I155" s="15" t="s">
        <v>28</v>
      </c>
      <c r="J155" s="14">
        <v>129811.37</v>
      </c>
      <c r="K155" s="15" t="s">
        <v>26</v>
      </c>
      <c r="L155" s="15">
        <v>163723</v>
      </c>
      <c r="M155" s="15" t="str">
        <f>"PGTEFT2794          PCET SUBSIDY"</f>
        <v>PGTEFT2794          PCET SUBSIDY</v>
      </c>
      <c r="O155" s="15">
        <v>1</v>
      </c>
    </row>
    <row r="156" spans="1:17" x14ac:dyDescent="0.25">
      <c r="A156" s="15">
        <v>8003879954</v>
      </c>
      <c r="B156" s="15">
        <v>79</v>
      </c>
      <c r="C156" s="15">
        <v>20122017</v>
      </c>
      <c r="D156" s="15">
        <v>341</v>
      </c>
      <c r="E156" s="15" t="str">
        <f>"TR IBG"</f>
        <v>TR IBG</v>
      </c>
      <c r="F156" s="15">
        <v>9938</v>
      </c>
      <c r="G156" s="15" t="str">
        <f>"24375820"</f>
        <v>24375820</v>
      </c>
      <c r="H156" s="14">
        <v>2312.0300000000002</v>
      </c>
      <c r="I156" s="15" t="s">
        <v>28</v>
      </c>
      <c r="J156" s="14">
        <v>129811.47</v>
      </c>
      <c r="K156" s="15" t="s">
        <v>26</v>
      </c>
      <c r="L156" s="15">
        <v>163723</v>
      </c>
      <c r="M156" s="15" t="str">
        <f>"ELITE TRANSLATION AS"</f>
        <v>ELITE TRANSLATION AS</v>
      </c>
      <c r="O156" s="15">
        <v>1</v>
      </c>
      <c r="P156" s="15" t="str">
        <f>"PGTEFT2798"</f>
        <v>PGTEFT2798</v>
      </c>
      <c r="Q156" s="15" t="str">
        <f>"S17101091 1711219"</f>
        <v>S17101091 1711219</v>
      </c>
    </row>
    <row r="157" spans="1:17" x14ac:dyDescent="0.25">
      <c r="A157" s="15">
        <v>8003879954</v>
      </c>
      <c r="B157" s="15">
        <v>78</v>
      </c>
      <c r="C157" s="15">
        <v>20122017</v>
      </c>
      <c r="D157" s="15">
        <v>299</v>
      </c>
      <c r="E157" s="15" t="str">
        <f>"GST"</f>
        <v>GST</v>
      </c>
      <c r="F157" s="15">
        <v>9938</v>
      </c>
      <c r="G157" s="15" t="str">
        <f>"24375820"</f>
        <v>24375820</v>
      </c>
      <c r="H157" s="14">
        <v>0.01</v>
      </c>
      <c r="I157" s="15" t="s">
        <v>28</v>
      </c>
      <c r="J157" s="14">
        <v>132123.5</v>
      </c>
      <c r="K157" s="15" t="s">
        <v>26</v>
      </c>
      <c r="L157" s="15">
        <v>163723</v>
      </c>
      <c r="M157" s="15" t="str">
        <f>"PGTEFT2798          S17101091 1711219"</f>
        <v>PGTEFT2798          S17101091 1711219</v>
      </c>
      <c r="O157" s="15">
        <v>1</v>
      </c>
    </row>
    <row r="158" spans="1:17" x14ac:dyDescent="0.25">
      <c r="A158" s="15">
        <v>8003879954</v>
      </c>
      <c r="B158" s="15">
        <v>77</v>
      </c>
      <c r="C158" s="15">
        <v>20122017</v>
      </c>
      <c r="D158" s="15">
        <v>489</v>
      </c>
      <c r="E158" s="15" t="str">
        <f>"OTHER TRANSFER FEE"</f>
        <v>OTHER TRANSFER FEE</v>
      </c>
      <c r="F158" s="15">
        <v>9938</v>
      </c>
      <c r="G158" s="15" t="str">
        <f>"24375820"</f>
        <v>24375820</v>
      </c>
      <c r="H158" s="14">
        <v>0.1</v>
      </c>
      <c r="I158" s="15" t="s">
        <v>28</v>
      </c>
      <c r="J158" s="14">
        <v>132123.51</v>
      </c>
      <c r="K158" s="15" t="s">
        <v>26</v>
      </c>
      <c r="L158" s="15">
        <v>163723</v>
      </c>
      <c r="M158" s="15" t="str">
        <f>"PGTEFT2798          S17101091 1711219"</f>
        <v>PGTEFT2798          S17101091 1711219</v>
      </c>
      <c r="O158" s="15">
        <v>1</v>
      </c>
    </row>
    <row r="159" spans="1:17" x14ac:dyDescent="0.25">
      <c r="A159" s="15">
        <v>8003879954</v>
      </c>
      <c r="B159" s="15">
        <v>76</v>
      </c>
      <c r="C159" s="15">
        <v>20122017</v>
      </c>
      <c r="D159" s="15">
        <v>60</v>
      </c>
      <c r="E159" s="15" t="str">
        <f>"TR TO C/A"</f>
        <v>TR TO C/A</v>
      </c>
      <c r="F159" s="15">
        <v>9938</v>
      </c>
      <c r="G159" s="15" t="str">
        <f>"24375882"</f>
        <v>24375882</v>
      </c>
      <c r="H159" s="14">
        <v>390</v>
      </c>
      <c r="I159" s="15" t="s">
        <v>28</v>
      </c>
      <c r="J159" s="14">
        <v>132123.60999999999</v>
      </c>
      <c r="K159" s="15" t="s">
        <v>26</v>
      </c>
      <c r="L159" s="15">
        <v>163723</v>
      </c>
      <c r="M159" s="15" t="str">
        <f>"PAYROLL-NOV'17 CORPORATENET ADVISO"</f>
        <v>PAYROLL-NOV'17 CORPORATENET ADVISO</v>
      </c>
      <c r="O159" s="15">
        <v>1</v>
      </c>
      <c r="P159" s="15" t="str">
        <f>"PGTEFT2792"</f>
        <v>PGTEFT2792</v>
      </c>
      <c r="Q159" s="15" t="str">
        <f>"CA-17-0154"</f>
        <v>CA-17-0154</v>
      </c>
    </row>
    <row r="160" spans="1:17" x14ac:dyDescent="0.25">
      <c r="A160" s="15">
        <v>8003879954</v>
      </c>
      <c r="B160" s="15">
        <v>75</v>
      </c>
      <c r="C160" s="15">
        <v>20122017</v>
      </c>
      <c r="D160" s="15">
        <v>341</v>
      </c>
      <c r="E160" s="15" t="str">
        <f>"TR IBG"</f>
        <v>TR IBG</v>
      </c>
      <c r="F160" s="15">
        <v>9938</v>
      </c>
      <c r="G160" s="15" t="str">
        <f>"24375876"</f>
        <v>24375876</v>
      </c>
      <c r="H160" s="14">
        <v>155.19999999999999</v>
      </c>
      <c r="I160" s="15" t="s">
        <v>28</v>
      </c>
      <c r="J160" s="14">
        <v>132513.60999999999</v>
      </c>
      <c r="K160" s="15" t="s">
        <v>26</v>
      </c>
      <c r="L160" s="15">
        <v>163722</v>
      </c>
      <c r="M160" s="15" t="str">
        <f>"CLARITY PUBLISHING S"</f>
        <v>CLARITY PUBLISHING S</v>
      </c>
      <c r="O160" s="15">
        <v>1</v>
      </c>
      <c r="P160" s="15" t="str">
        <f>"PGTEFT2793"</f>
        <v>PGTEFT2793</v>
      </c>
      <c r="Q160" s="15" t="str">
        <f>"PGT10-17 11-17"</f>
        <v>PGT10-17 11-17</v>
      </c>
    </row>
    <row r="161" spans="1:17" x14ac:dyDescent="0.25">
      <c r="A161" s="15">
        <v>8003879954</v>
      </c>
      <c r="B161" s="15">
        <v>74</v>
      </c>
      <c r="C161" s="15">
        <v>20122017</v>
      </c>
      <c r="D161" s="15">
        <v>299</v>
      </c>
      <c r="E161" s="15" t="str">
        <f>"GST"</f>
        <v>GST</v>
      </c>
      <c r="F161" s="15">
        <v>9938</v>
      </c>
      <c r="G161" s="15" t="str">
        <f>"24375876"</f>
        <v>24375876</v>
      </c>
      <c r="H161" s="14">
        <v>0.01</v>
      </c>
      <c r="I161" s="15" t="s">
        <v>28</v>
      </c>
      <c r="J161" s="14">
        <v>132668.81</v>
      </c>
      <c r="K161" s="15" t="s">
        <v>26</v>
      </c>
      <c r="L161" s="15">
        <v>163722</v>
      </c>
      <c r="M161" s="15" t="str">
        <f>"PGTEFT2793          PGT10-17 11-17"</f>
        <v>PGTEFT2793          PGT10-17 11-17</v>
      </c>
      <c r="O161" s="15">
        <v>1</v>
      </c>
    </row>
    <row r="162" spans="1:17" x14ac:dyDescent="0.25">
      <c r="A162" s="15">
        <v>8003879954</v>
      </c>
      <c r="B162" s="15">
        <v>73</v>
      </c>
      <c r="C162" s="15">
        <v>20122017</v>
      </c>
      <c r="D162" s="15">
        <v>489</v>
      </c>
      <c r="E162" s="15" t="str">
        <f>"OTHER TRANSFER FEE"</f>
        <v>OTHER TRANSFER FEE</v>
      </c>
      <c r="F162" s="15">
        <v>9938</v>
      </c>
      <c r="G162" s="15" t="str">
        <f>"24375876"</f>
        <v>24375876</v>
      </c>
      <c r="H162" s="14">
        <v>0.1</v>
      </c>
      <c r="I162" s="15" t="s">
        <v>28</v>
      </c>
      <c r="J162" s="14">
        <v>132668.82</v>
      </c>
      <c r="K162" s="15" t="s">
        <v>26</v>
      </c>
      <c r="L162" s="15">
        <v>163722</v>
      </c>
      <c r="M162" s="15" t="str">
        <f>"PGTEFT2793          PGT10-17 11-17"</f>
        <v>PGTEFT2793          PGT10-17 11-17</v>
      </c>
      <c r="O162" s="15">
        <v>1</v>
      </c>
    </row>
    <row r="163" spans="1:17" x14ac:dyDescent="0.25">
      <c r="A163" s="15">
        <v>8003879954</v>
      </c>
      <c r="B163" s="15">
        <v>72</v>
      </c>
      <c r="C163" s="15">
        <v>20122017</v>
      </c>
      <c r="D163" s="15">
        <v>60</v>
      </c>
      <c r="E163" s="15" t="str">
        <f>"TR TO C/A"</f>
        <v>TR TO C/A</v>
      </c>
      <c r="F163" s="15">
        <v>9938</v>
      </c>
      <c r="G163" s="15" t="str">
        <f>"24375846"</f>
        <v>24375846</v>
      </c>
      <c r="H163" s="14">
        <v>8904</v>
      </c>
      <c r="I163" s="15" t="s">
        <v>28</v>
      </c>
      <c r="J163" s="14">
        <v>132668.92000000001</v>
      </c>
      <c r="K163" s="15" t="s">
        <v>26</v>
      </c>
      <c r="L163" s="15">
        <v>163722</v>
      </c>
      <c r="M163" s="15" t="str">
        <f>"PCET SELFIE STICK DE EVEREST PROMO SDN B"</f>
        <v>PCET SELFIE STICK DE EVEREST PROMO SDN B</v>
      </c>
      <c r="O163" s="15">
        <v>1</v>
      </c>
      <c r="P163" s="15" t="str">
        <f>"PGTEFT2797"</f>
        <v>PGTEFT2797</v>
      </c>
      <c r="Q163" s="15" t="str">
        <f>"PI-SO-170319"</f>
        <v>PI-SO-170319</v>
      </c>
    </row>
    <row r="164" spans="1:17" x14ac:dyDescent="0.25">
      <c r="A164" s="15">
        <v>8003879954</v>
      </c>
      <c r="B164" s="15">
        <v>71</v>
      </c>
      <c r="C164" s="15">
        <v>20122017</v>
      </c>
      <c r="D164" s="15">
        <v>60</v>
      </c>
      <c r="E164" s="15" t="str">
        <f>"TR TO C/A"</f>
        <v>TR TO C/A</v>
      </c>
      <c r="F164" s="15">
        <v>9938</v>
      </c>
      <c r="G164" s="15" t="str">
        <f>"24375922"</f>
        <v>24375922</v>
      </c>
      <c r="H164" s="14">
        <v>360.4</v>
      </c>
      <c r="I164" s="15" t="s">
        <v>28</v>
      </c>
      <c r="J164" s="14">
        <v>141572.92000000001</v>
      </c>
      <c r="K164" s="15" t="s">
        <v>26</v>
      </c>
      <c r="L164" s="15">
        <v>163722</v>
      </c>
      <c r="M164" s="15" t="str">
        <f>"ACCOUNT-OCT'17 CORPORATENET SDN BH"</f>
        <v>ACCOUNT-OCT'17 CORPORATENET SDN BH</v>
      </c>
      <c r="O164" s="15">
        <v>1</v>
      </c>
      <c r="P164" s="15" t="str">
        <f>"PGTEFT2791"</f>
        <v>PGTEFT2791</v>
      </c>
      <c r="Q164" s="15" t="str">
        <f>"CNET-17-3400"</f>
        <v>CNET-17-3400</v>
      </c>
    </row>
    <row r="165" spans="1:17" x14ac:dyDescent="0.25">
      <c r="A165" s="15">
        <v>8003879954</v>
      </c>
      <c r="B165" s="15">
        <v>70</v>
      </c>
      <c r="C165" s="15">
        <v>20122017</v>
      </c>
      <c r="D165" s="15">
        <v>341</v>
      </c>
      <c r="E165" s="15" t="str">
        <f>"TR IBG"</f>
        <v>TR IBG</v>
      </c>
      <c r="F165" s="15">
        <v>9938</v>
      </c>
      <c r="G165" s="15" t="str">
        <f>"24375763"</f>
        <v>24375763</v>
      </c>
      <c r="H165" s="14">
        <v>17.5</v>
      </c>
      <c r="I165" s="15" t="s">
        <v>28</v>
      </c>
      <c r="J165" s="14">
        <v>141933.32</v>
      </c>
      <c r="K165" s="15" t="s">
        <v>26</v>
      </c>
      <c r="L165" s="15">
        <v>163402</v>
      </c>
      <c r="M165" s="15" t="str">
        <f>"KAKI CREATION"</f>
        <v>KAKI CREATION</v>
      </c>
      <c r="O165" s="15">
        <v>1</v>
      </c>
      <c r="P165" s="15" t="str">
        <f>"PGTEFT2804"</f>
        <v>PGTEFT2804</v>
      </c>
      <c r="Q165" s="15" t="str">
        <f>"KKCN17-IV062"</f>
        <v>KKCN17-IV062</v>
      </c>
    </row>
    <row r="166" spans="1:17" x14ac:dyDescent="0.25">
      <c r="A166" s="15">
        <v>8003879954</v>
      </c>
      <c r="B166" s="15">
        <v>69</v>
      </c>
      <c r="C166" s="15">
        <v>20122017</v>
      </c>
      <c r="D166" s="15">
        <v>299</v>
      </c>
      <c r="E166" s="15" t="str">
        <f>"GST"</f>
        <v>GST</v>
      </c>
      <c r="F166" s="15">
        <v>9938</v>
      </c>
      <c r="G166" s="15" t="str">
        <f>"24375763"</f>
        <v>24375763</v>
      </c>
      <c r="H166" s="14">
        <v>0.01</v>
      </c>
      <c r="I166" s="15" t="s">
        <v>28</v>
      </c>
      <c r="J166" s="14">
        <v>141950.82</v>
      </c>
      <c r="K166" s="15" t="s">
        <v>26</v>
      </c>
      <c r="L166" s="15">
        <v>163402</v>
      </c>
      <c r="M166" s="15" t="str">
        <f>"PGTEFT2804          KKCN17-IV062"</f>
        <v>PGTEFT2804          KKCN17-IV062</v>
      </c>
      <c r="O166" s="15">
        <v>1</v>
      </c>
    </row>
    <row r="167" spans="1:17" x14ac:dyDescent="0.25">
      <c r="A167" s="15">
        <v>8003879954</v>
      </c>
      <c r="B167" s="15">
        <v>68</v>
      </c>
      <c r="C167" s="15">
        <v>20122017</v>
      </c>
      <c r="D167" s="15">
        <v>489</v>
      </c>
      <c r="E167" s="15" t="str">
        <f>"OTHER TRANSFER FEE"</f>
        <v>OTHER TRANSFER FEE</v>
      </c>
      <c r="F167" s="15">
        <v>9938</v>
      </c>
      <c r="G167" s="15" t="str">
        <f>"24375763"</f>
        <v>24375763</v>
      </c>
      <c r="H167" s="14">
        <v>0.1</v>
      </c>
      <c r="I167" s="15" t="s">
        <v>28</v>
      </c>
      <c r="J167" s="14">
        <v>141950.82999999999</v>
      </c>
      <c r="K167" s="15" t="s">
        <v>26</v>
      </c>
      <c r="L167" s="15">
        <v>163402</v>
      </c>
      <c r="M167" s="15" t="str">
        <f>"PGTEFT2804          KKCN17-IV062"</f>
        <v>PGTEFT2804          KKCN17-IV062</v>
      </c>
      <c r="O167" s="15">
        <v>1</v>
      </c>
    </row>
    <row r="168" spans="1:17" x14ac:dyDescent="0.25">
      <c r="A168" s="15">
        <v>8003879954</v>
      </c>
      <c r="B168" s="15">
        <v>67</v>
      </c>
      <c r="C168" s="15">
        <v>20122017</v>
      </c>
      <c r="D168" s="15">
        <v>341</v>
      </c>
      <c r="E168" s="15" t="str">
        <f>"TR IBG"</f>
        <v>TR IBG</v>
      </c>
      <c r="F168" s="15">
        <v>9938</v>
      </c>
      <c r="G168" s="15" t="str">
        <f>"24375775"</f>
        <v>24375775</v>
      </c>
      <c r="H168" s="14">
        <v>36.4</v>
      </c>
      <c r="I168" s="15" t="s">
        <v>28</v>
      </c>
      <c r="J168" s="14">
        <v>141950.93</v>
      </c>
      <c r="K168" s="15" t="s">
        <v>26</v>
      </c>
      <c r="L168" s="15">
        <v>163359</v>
      </c>
      <c r="M168" s="15" t="str">
        <f>"HEKTY PUBLISHING SDN"</f>
        <v>HEKTY PUBLISHING SDN</v>
      </c>
      <c r="O168" s="15">
        <v>1</v>
      </c>
      <c r="P168" s="15" t="str">
        <f>"PGTEFT2802"</f>
        <v>PGTEFT2802</v>
      </c>
      <c r="Q168" s="15" t="str">
        <f>"INV00539"</f>
        <v>INV00539</v>
      </c>
    </row>
    <row r="169" spans="1:17" x14ac:dyDescent="0.25">
      <c r="A169" s="15">
        <v>8003879954</v>
      </c>
      <c r="B169" s="15">
        <v>66</v>
      </c>
      <c r="C169" s="15">
        <v>20122017</v>
      </c>
      <c r="D169" s="15">
        <v>299</v>
      </c>
      <c r="E169" s="15" t="str">
        <f>"GST"</f>
        <v>GST</v>
      </c>
      <c r="F169" s="15">
        <v>9938</v>
      </c>
      <c r="G169" s="15" t="str">
        <f>"24375775"</f>
        <v>24375775</v>
      </c>
      <c r="H169" s="14">
        <v>0.01</v>
      </c>
      <c r="I169" s="15" t="s">
        <v>28</v>
      </c>
      <c r="J169" s="14">
        <v>141987.32999999999</v>
      </c>
      <c r="K169" s="15" t="s">
        <v>26</v>
      </c>
      <c r="L169" s="15">
        <v>163359</v>
      </c>
      <c r="M169" s="15" t="str">
        <f>"PGTEFT2802          INV00539"</f>
        <v>PGTEFT2802          INV00539</v>
      </c>
      <c r="O169" s="15">
        <v>1</v>
      </c>
    </row>
    <row r="170" spans="1:17" x14ac:dyDescent="0.25">
      <c r="A170" s="15">
        <v>8003879954</v>
      </c>
      <c r="B170" s="15">
        <v>65</v>
      </c>
      <c r="C170" s="15">
        <v>20122017</v>
      </c>
      <c r="D170" s="15">
        <v>489</v>
      </c>
      <c r="E170" s="15" t="str">
        <f>"OTHER TRANSFER FEE"</f>
        <v>OTHER TRANSFER FEE</v>
      </c>
      <c r="F170" s="15">
        <v>9938</v>
      </c>
      <c r="G170" s="15" t="str">
        <f>"24375775"</f>
        <v>24375775</v>
      </c>
      <c r="H170" s="14">
        <v>0.1</v>
      </c>
      <c r="I170" s="15" t="s">
        <v>28</v>
      </c>
      <c r="J170" s="14">
        <v>141987.34</v>
      </c>
      <c r="K170" s="15" t="s">
        <v>26</v>
      </c>
      <c r="L170" s="15">
        <v>163359</v>
      </c>
      <c r="M170" s="15" t="str">
        <f>"PGTEFT2802          INV00539"</f>
        <v>PGTEFT2802          INV00539</v>
      </c>
      <c r="O170" s="15">
        <v>1</v>
      </c>
    </row>
    <row r="171" spans="1:17" x14ac:dyDescent="0.25">
      <c r="A171" s="15">
        <v>8003879954</v>
      </c>
      <c r="B171" s="15">
        <v>64</v>
      </c>
      <c r="C171" s="15">
        <v>20122017</v>
      </c>
      <c r="D171" s="15">
        <v>341</v>
      </c>
      <c r="E171" s="15" t="str">
        <f>"TR IBG"</f>
        <v>TR IBG</v>
      </c>
      <c r="F171" s="15">
        <v>9938</v>
      </c>
      <c r="G171" s="15" t="str">
        <f>"24388812"</f>
        <v>24388812</v>
      </c>
      <c r="H171" s="14">
        <v>840</v>
      </c>
      <c r="I171" s="15" t="s">
        <v>28</v>
      </c>
      <c r="J171" s="14">
        <v>141987.44</v>
      </c>
      <c r="K171" s="15" t="s">
        <v>26</v>
      </c>
      <c r="L171" s="15">
        <v>163400</v>
      </c>
      <c r="M171" s="15" t="str">
        <f>"ONG YEN MENG"</f>
        <v>ONG YEN MENG</v>
      </c>
      <c r="O171" s="15">
        <v>1</v>
      </c>
      <c r="P171" s="15" t="str">
        <f>"PGTEFT2813"</f>
        <v>PGTEFT2813</v>
      </c>
      <c r="Q171" s="15" t="str">
        <f>"WELCOMING RECEPTION"</f>
        <v>WELCOMING RECEPTION</v>
      </c>
    </row>
    <row r="172" spans="1:17" x14ac:dyDescent="0.25">
      <c r="A172" s="15">
        <v>8003879954</v>
      </c>
      <c r="B172" s="15">
        <v>63</v>
      </c>
      <c r="C172" s="15">
        <v>20122017</v>
      </c>
      <c r="D172" s="15">
        <v>299</v>
      </c>
      <c r="E172" s="15" t="str">
        <f>"GST"</f>
        <v>GST</v>
      </c>
      <c r="F172" s="15">
        <v>9938</v>
      </c>
      <c r="G172" s="15" t="str">
        <f>"24388812"</f>
        <v>24388812</v>
      </c>
      <c r="H172" s="14">
        <v>0.01</v>
      </c>
      <c r="I172" s="15" t="s">
        <v>28</v>
      </c>
      <c r="J172" s="14">
        <v>142827.44</v>
      </c>
      <c r="K172" s="15" t="s">
        <v>26</v>
      </c>
      <c r="L172" s="15">
        <v>163400</v>
      </c>
      <c r="M172" s="15" t="str">
        <f>"PGTEFT2813          WELCOMING RECEPTION"</f>
        <v>PGTEFT2813          WELCOMING RECEPTION</v>
      </c>
      <c r="O172" s="15">
        <v>1</v>
      </c>
    </row>
    <row r="173" spans="1:17" x14ac:dyDescent="0.25">
      <c r="A173" s="15">
        <v>8003879954</v>
      </c>
      <c r="B173" s="15">
        <v>62</v>
      </c>
      <c r="C173" s="15">
        <v>20122017</v>
      </c>
      <c r="D173" s="15">
        <v>489</v>
      </c>
      <c r="E173" s="15" t="str">
        <f>"OTHER TRANSFER FEE"</f>
        <v>OTHER TRANSFER FEE</v>
      </c>
      <c r="F173" s="15">
        <v>9938</v>
      </c>
      <c r="G173" s="15" t="str">
        <f>"24388812"</f>
        <v>24388812</v>
      </c>
      <c r="H173" s="14">
        <v>0.1</v>
      </c>
      <c r="I173" s="15" t="s">
        <v>28</v>
      </c>
      <c r="J173" s="14">
        <v>142827.45000000001</v>
      </c>
      <c r="K173" s="15" t="s">
        <v>26</v>
      </c>
      <c r="L173" s="15">
        <v>163400</v>
      </c>
      <c r="M173" s="15" t="str">
        <f>"PGTEFT2813          WELCOMING RECEPTION"</f>
        <v>PGTEFT2813          WELCOMING RECEPTION</v>
      </c>
      <c r="O173" s="15">
        <v>1</v>
      </c>
    </row>
    <row r="174" spans="1:17" x14ac:dyDescent="0.25">
      <c r="A174" s="15">
        <v>8003879954</v>
      </c>
      <c r="B174" s="15">
        <v>61</v>
      </c>
      <c r="C174" s="15">
        <v>20122017</v>
      </c>
      <c r="D174" s="15">
        <v>341</v>
      </c>
      <c r="E174" s="15" t="str">
        <f>"TR IBG"</f>
        <v>TR IBG</v>
      </c>
      <c r="F174" s="15">
        <v>9938</v>
      </c>
      <c r="G174" s="15" t="str">
        <f>"24375787"</f>
        <v>24375787</v>
      </c>
      <c r="H174" s="14">
        <v>7660</v>
      </c>
      <c r="I174" s="15" t="s">
        <v>28</v>
      </c>
      <c r="J174" s="14">
        <v>142827.54999999999</v>
      </c>
      <c r="K174" s="15" t="s">
        <v>26</v>
      </c>
      <c r="L174" s="15">
        <v>163359</v>
      </c>
      <c r="M174" s="15" t="str">
        <f>"HG LIM ELECTRICAL EN"</f>
        <v>HG LIM ELECTRICAL EN</v>
      </c>
      <c r="O174" s="15">
        <v>1</v>
      </c>
      <c r="P174" s="15" t="str">
        <f>"PGTEFT2801"</f>
        <v>PGTEFT2801</v>
      </c>
      <c r="Q174" s="15" t="str">
        <f>"HG-1511-11-17"</f>
        <v>HG-1511-11-17</v>
      </c>
    </row>
    <row r="175" spans="1:17" x14ac:dyDescent="0.25">
      <c r="A175" s="15">
        <v>8003879954</v>
      </c>
      <c r="B175" s="15">
        <v>60</v>
      </c>
      <c r="C175" s="15">
        <v>20122017</v>
      </c>
      <c r="D175" s="15">
        <v>299</v>
      </c>
      <c r="E175" s="15" t="str">
        <f>"GST"</f>
        <v>GST</v>
      </c>
      <c r="F175" s="15">
        <v>9938</v>
      </c>
      <c r="G175" s="15" t="str">
        <f>"24375787"</f>
        <v>24375787</v>
      </c>
      <c r="H175" s="14">
        <v>0.01</v>
      </c>
      <c r="I175" s="15" t="s">
        <v>28</v>
      </c>
      <c r="J175" s="14">
        <v>150487.54999999999</v>
      </c>
      <c r="K175" s="15" t="s">
        <v>26</v>
      </c>
      <c r="L175" s="15">
        <v>163359</v>
      </c>
      <c r="M175" s="15" t="str">
        <f>"PGTEFT2801          HG-1511-11-17"</f>
        <v>PGTEFT2801          HG-1511-11-17</v>
      </c>
      <c r="O175" s="15">
        <v>1</v>
      </c>
    </row>
    <row r="176" spans="1:17" x14ac:dyDescent="0.25">
      <c r="A176" s="15">
        <v>8003879954</v>
      </c>
      <c r="B176" s="15">
        <v>59</v>
      </c>
      <c r="C176" s="15">
        <v>20122017</v>
      </c>
      <c r="D176" s="15">
        <v>489</v>
      </c>
      <c r="E176" s="15" t="str">
        <f>"OTHER TRANSFER FEE"</f>
        <v>OTHER TRANSFER FEE</v>
      </c>
      <c r="F176" s="15">
        <v>9938</v>
      </c>
      <c r="G176" s="15" t="str">
        <f>"24375787"</f>
        <v>24375787</v>
      </c>
      <c r="H176" s="14">
        <v>0.1</v>
      </c>
      <c r="I176" s="15" t="s">
        <v>28</v>
      </c>
      <c r="J176" s="14">
        <v>150487.56</v>
      </c>
      <c r="K176" s="15" t="s">
        <v>26</v>
      </c>
      <c r="L176" s="15">
        <v>163359</v>
      </c>
      <c r="M176" s="15" t="str">
        <f>"PGTEFT2801          HG-1511-11-17"</f>
        <v>PGTEFT2801          HG-1511-11-17</v>
      </c>
      <c r="O176" s="15">
        <v>1</v>
      </c>
    </row>
    <row r="177" spans="1:17" x14ac:dyDescent="0.25">
      <c r="A177" s="15">
        <v>8003879954</v>
      </c>
      <c r="B177" s="15">
        <v>58</v>
      </c>
      <c r="C177" s="15">
        <v>20122017</v>
      </c>
      <c r="D177" s="15">
        <v>341</v>
      </c>
      <c r="E177" s="15" t="str">
        <f>"TR IBG"</f>
        <v>TR IBG</v>
      </c>
      <c r="F177" s="15">
        <v>9938</v>
      </c>
      <c r="G177" s="15" t="str">
        <f>"24375810"</f>
        <v>24375810</v>
      </c>
      <c r="H177" s="14">
        <v>339.2</v>
      </c>
      <c r="I177" s="15" t="s">
        <v>28</v>
      </c>
      <c r="J177" s="14">
        <v>150487.66</v>
      </c>
      <c r="K177" s="15" t="s">
        <v>26</v>
      </c>
      <c r="L177" s="15">
        <v>163359</v>
      </c>
      <c r="M177" s="15" t="str">
        <f>"FUJI XEROX ASIA PACI"</f>
        <v>FUJI XEROX ASIA PACI</v>
      </c>
      <c r="O177" s="15">
        <v>1</v>
      </c>
      <c r="P177" s="15" t="str">
        <f>"PGTEFT2799"</f>
        <v>PGTEFT2799</v>
      </c>
      <c r="Q177" s="15" t="str">
        <f>"INV301313426"</f>
        <v>INV301313426</v>
      </c>
    </row>
    <row r="178" spans="1:17" x14ac:dyDescent="0.25">
      <c r="A178" s="15">
        <v>8003879954</v>
      </c>
      <c r="B178" s="15">
        <v>57</v>
      </c>
      <c r="C178" s="15">
        <v>20122017</v>
      </c>
      <c r="D178" s="15">
        <v>299</v>
      </c>
      <c r="E178" s="15" t="str">
        <f>"GST"</f>
        <v>GST</v>
      </c>
      <c r="F178" s="15">
        <v>9938</v>
      </c>
      <c r="G178" s="15" t="str">
        <f>"24375810"</f>
        <v>24375810</v>
      </c>
      <c r="H178" s="14">
        <v>0.01</v>
      </c>
      <c r="I178" s="15" t="s">
        <v>28</v>
      </c>
      <c r="J178" s="14">
        <v>150826.85999999999</v>
      </c>
      <c r="K178" s="15" t="s">
        <v>26</v>
      </c>
      <c r="L178" s="15">
        <v>163359</v>
      </c>
      <c r="M178" s="15" t="str">
        <f>"PGTEFT2799          INV301313426"</f>
        <v>PGTEFT2799          INV301313426</v>
      </c>
      <c r="O178" s="15">
        <v>1</v>
      </c>
    </row>
    <row r="179" spans="1:17" x14ac:dyDescent="0.25">
      <c r="A179" s="15">
        <v>8003879954</v>
      </c>
      <c r="B179" s="15">
        <v>56</v>
      </c>
      <c r="C179" s="15">
        <v>20122017</v>
      </c>
      <c r="D179" s="15">
        <v>489</v>
      </c>
      <c r="E179" s="15" t="str">
        <f>"OTHER TRANSFER FEE"</f>
        <v>OTHER TRANSFER FEE</v>
      </c>
      <c r="F179" s="15">
        <v>9938</v>
      </c>
      <c r="G179" s="15" t="str">
        <f>"24375810"</f>
        <v>24375810</v>
      </c>
      <c r="H179" s="14">
        <v>0.1</v>
      </c>
      <c r="I179" s="15" t="s">
        <v>28</v>
      </c>
      <c r="J179" s="14">
        <v>150826.87</v>
      </c>
      <c r="K179" s="15" t="s">
        <v>26</v>
      </c>
      <c r="L179" s="15">
        <v>163359</v>
      </c>
      <c r="M179" s="15" t="str">
        <f>"PGTEFT2799          INV301313426"</f>
        <v>PGTEFT2799          INV301313426</v>
      </c>
      <c r="O179" s="15">
        <v>1</v>
      </c>
    </row>
    <row r="180" spans="1:17" x14ac:dyDescent="0.25">
      <c r="A180" s="15">
        <v>8003879954</v>
      </c>
      <c r="B180" s="15">
        <v>55</v>
      </c>
      <c r="C180" s="15">
        <v>20122017</v>
      </c>
      <c r="D180" s="15">
        <v>341</v>
      </c>
      <c r="E180" s="15" t="str">
        <f>"TR IBG"</f>
        <v>TR IBG</v>
      </c>
      <c r="F180" s="15">
        <v>9938</v>
      </c>
      <c r="G180" s="15" t="str">
        <f>"24374837"</f>
        <v>24374837</v>
      </c>
      <c r="H180" s="14">
        <v>2000</v>
      </c>
      <c r="I180" s="15" t="s">
        <v>28</v>
      </c>
      <c r="J180" s="14">
        <v>150826.97</v>
      </c>
      <c r="K180" s="15" t="s">
        <v>26</v>
      </c>
      <c r="L180" s="15">
        <v>163359</v>
      </c>
      <c r="M180" s="15" t="str">
        <f>"RICKVEEN SINGH A/L H"</f>
        <v>RICKVEEN SINGH A/L H</v>
      </c>
      <c r="O180" s="15">
        <v>1</v>
      </c>
      <c r="P180" s="15" t="str">
        <f>"PGTEFT2814"</f>
        <v>PGTEFT2814</v>
      </c>
      <c r="Q180" s="15" t="str">
        <f>"WELCOMING RECEPTION"</f>
        <v>WELCOMING RECEPTION</v>
      </c>
    </row>
    <row r="181" spans="1:17" x14ac:dyDescent="0.25">
      <c r="A181" s="15">
        <v>8003879954</v>
      </c>
      <c r="B181" s="15">
        <v>54</v>
      </c>
      <c r="C181" s="15">
        <v>20122017</v>
      </c>
      <c r="D181" s="15">
        <v>299</v>
      </c>
      <c r="E181" s="15" t="str">
        <f>"GST"</f>
        <v>GST</v>
      </c>
      <c r="F181" s="15">
        <v>9938</v>
      </c>
      <c r="G181" s="15" t="str">
        <f>"24374837"</f>
        <v>24374837</v>
      </c>
      <c r="H181" s="14">
        <v>0.01</v>
      </c>
      <c r="I181" s="15" t="s">
        <v>28</v>
      </c>
      <c r="J181" s="14">
        <v>152826.97</v>
      </c>
      <c r="K181" s="15" t="s">
        <v>26</v>
      </c>
      <c r="L181" s="15">
        <v>163359</v>
      </c>
      <c r="M181" s="15" t="str">
        <f>"PGTEFT2814          WELCOMING RECEPTION"</f>
        <v>PGTEFT2814          WELCOMING RECEPTION</v>
      </c>
      <c r="O181" s="15">
        <v>1</v>
      </c>
    </row>
    <row r="182" spans="1:17" x14ac:dyDescent="0.25">
      <c r="A182" s="15">
        <v>8003879954</v>
      </c>
      <c r="B182" s="15">
        <v>53</v>
      </c>
      <c r="C182" s="15">
        <v>20122017</v>
      </c>
      <c r="D182" s="15">
        <v>489</v>
      </c>
      <c r="E182" s="15" t="str">
        <f>"OTHER TRANSFER FEE"</f>
        <v>OTHER TRANSFER FEE</v>
      </c>
      <c r="F182" s="15">
        <v>9938</v>
      </c>
      <c r="G182" s="15" t="str">
        <f>"24374837"</f>
        <v>24374837</v>
      </c>
      <c r="H182" s="14">
        <v>0.1</v>
      </c>
      <c r="I182" s="15" t="s">
        <v>28</v>
      </c>
      <c r="J182" s="14">
        <v>152826.98000000001</v>
      </c>
      <c r="K182" s="15" t="s">
        <v>26</v>
      </c>
      <c r="L182" s="15">
        <v>163359</v>
      </c>
      <c r="M182" s="15" t="str">
        <f>"PGTEFT2814          WELCOMING RECEPTION"</f>
        <v>PGTEFT2814          WELCOMING RECEPTION</v>
      </c>
      <c r="O182" s="15">
        <v>1</v>
      </c>
    </row>
    <row r="183" spans="1:17" x14ac:dyDescent="0.25">
      <c r="A183" s="15">
        <v>8003879954</v>
      </c>
      <c r="B183" s="15">
        <v>52</v>
      </c>
      <c r="C183" s="15">
        <v>20122017</v>
      </c>
      <c r="D183" s="15">
        <v>341</v>
      </c>
      <c r="E183" s="15" t="str">
        <f>"TR IBG"</f>
        <v>TR IBG</v>
      </c>
      <c r="F183" s="15">
        <v>9938</v>
      </c>
      <c r="G183" s="15" t="str">
        <f>"24375797"</f>
        <v>24375797</v>
      </c>
      <c r="H183" s="14">
        <v>3710</v>
      </c>
      <c r="I183" s="15" t="s">
        <v>28</v>
      </c>
      <c r="J183" s="14">
        <v>152827.07999999999</v>
      </c>
      <c r="K183" s="15" t="s">
        <v>26</v>
      </c>
      <c r="L183" s="15">
        <v>163359</v>
      </c>
      <c r="M183" s="15" t="str">
        <f>"OPTIMAL MEDIA SDN BH"</f>
        <v>OPTIMAL MEDIA SDN BH</v>
      </c>
      <c r="O183" s="15">
        <v>1</v>
      </c>
      <c r="P183" s="15" t="str">
        <f>"PGTEFT2800"</f>
        <v>PGTEFT2800</v>
      </c>
      <c r="Q183" s="15" t="str">
        <f>"INV374"</f>
        <v>INV374</v>
      </c>
    </row>
    <row r="184" spans="1:17" x14ac:dyDescent="0.25">
      <c r="A184" s="15">
        <v>8003879954</v>
      </c>
      <c r="B184" s="15">
        <v>51</v>
      </c>
      <c r="C184" s="15">
        <v>20122017</v>
      </c>
      <c r="D184" s="15">
        <v>299</v>
      </c>
      <c r="E184" s="15" t="str">
        <f>"GST"</f>
        <v>GST</v>
      </c>
      <c r="F184" s="15">
        <v>9938</v>
      </c>
      <c r="G184" s="15" t="str">
        <f>"24375797"</f>
        <v>24375797</v>
      </c>
      <c r="H184" s="14">
        <v>0.01</v>
      </c>
      <c r="I184" s="15" t="s">
        <v>28</v>
      </c>
      <c r="J184" s="14">
        <v>156537.07999999999</v>
      </c>
      <c r="K184" s="15" t="s">
        <v>26</v>
      </c>
      <c r="L184" s="15">
        <v>163359</v>
      </c>
      <c r="M184" s="15" t="str">
        <f>"PGTEFT2800          INV374"</f>
        <v>PGTEFT2800          INV374</v>
      </c>
      <c r="O184" s="15">
        <v>1</v>
      </c>
    </row>
    <row r="185" spans="1:17" x14ac:dyDescent="0.25">
      <c r="A185" s="15">
        <v>8003879954</v>
      </c>
      <c r="B185" s="15">
        <v>50</v>
      </c>
      <c r="C185" s="15">
        <v>20122017</v>
      </c>
      <c r="D185" s="15">
        <v>489</v>
      </c>
      <c r="E185" s="15" t="str">
        <f>"OTHER TRANSFER FEE"</f>
        <v>OTHER TRANSFER FEE</v>
      </c>
      <c r="F185" s="15">
        <v>9938</v>
      </c>
      <c r="G185" s="15" t="str">
        <f>"24375797"</f>
        <v>24375797</v>
      </c>
      <c r="H185" s="14">
        <v>0.1</v>
      </c>
      <c r="I185" s="15" t="s">
        <v>28</v>
      </c>
      <c r="J185" s="14">
        <v>156537.09</v>
      </c>
      <c r="K185" s="15" t="s">
        <v>26</v>
      </c>
      <c r="L185" s="15">
        <v>163359</v>
      </c>
      <c r="M185" s="15" t="str">
        <f>"PGTEFT2800          INV374"</f>
        <v>PGTEFT2800          INV374</v>
      </c>
      <c r="O185" s="15">
        <v>1</v>
      </c>
    </row>
    <row r="186" spans="1:17" x14ac:dyDescent="0.25">
      <c r="A186" s="15">
        <v>8003879954</v>
      </c>
      <c r="B186" s="15">
        <v>49</v>
      </c>
      <c r="C186" s="15">
        <v>20122017</v>
      </c>
      <c r="D186" s="15">
        <v>60</v>
      </c>
      <c r="E186" s="15" t="str">
        <f>"TR TO C/A"</f>
        <v>TR TO C/A</v>
      </c>
      <c r="F186" s="15">
        <v>9938</v>
      </c>
      <c r="G186" s="15" t="str">
        <f>"24389575"</f>
        <v>24389575</v>
      </c>
      <c r="H186" s="14">
        <v>637.6</v>
      </c>
      <c r="I186" s="15" t="s">
        <v>28</v>
      </c>
      <c r="J186" s="14">
        <v>156537.19</v>
      </c>
      <c r="K186" s="15" t="s">
        <v>26</v>
      </c>
      <c r="L186" s="15">
        <v>163358</v>
      </c>
      <c r="M186" s="15" t="str">
        <f>"LUNCH ON 6/11/17 MUNTRI MEWS SDN BHD"</f>
        <v>LUNCH ON 6/11/17 MUNTRI MEWS SDN BHD</v>
      </c>
      <c r="O186" s="15">
        <v>1</v>
      </c>
      <c r="P186" s="15" t="str">
        <f>"PGTEFT2815"</f>
        <v>PGTEFT2815</v>
      </c>
      <c r="Q186" s="15" t="str">
        <f>"INV30200"</f>
        <v>INV30200</v>
      </c>
    </row>
    <row r="187" spans="1:17" x14ac:dyDescent="0.25">
      <c r="A187" s="15">
        <v>8003879954</v>
      </c>
      <c r="B187" s="15">
        <v>48</v>
      </c>
      <c r="C187" s="15">
        <v>20122017</v>
      </c>
      <c r="D187" s="15">
        <v>343</v>
      </c>
      <c r="E187" s="15" t="str">
        <f>"I-PAYMENT"</f>
        <v>I-PAYMENT</v>
      </c>
      <c r="F187" s="15">
        <v>9938</v>
      </c>
      <c r="G187" s="15" t="str">
        <f>"2017122035301032"</f>
        <v>2017122035301032</v>
      </c>
      <c r="H187" s="14">
        <v>28.9</v>
      </c>
      <c r="I187" s="15" t="s">
        <v>28</v>
      </c>
      <c r="J187" s="14">
        <v>157174.79</v>
      </c>
      <c r="K187" s="15" t="s">
        <v>26</v>
      </c>
      <c r="L187" s="15">
        <v>163159</v>
      </c>
      <c r="M187" s="15" t="str">
        <f>"Pay to TNB: 220543740007"</f>
        <v>Pay to TNB: 220543740007</v>
      </c>
      <c r="O187" s="15">
        <v>1</v>
      </c>
    </row>
    <row r="188" spans="1:17" x14ac:dyDescent="0.25">
      <c r="A188" s="15">
        <v>8003879954</v>
      </c>
      <c r="B188" s="15">
        <v>47</v>
      </c>
      <c r="C188" s="15">
        <v>20122017</v>
      </c>
      <c r="D188" s="15">
        <v>343</v>
      </c>
      <c r="E188" s="15" t="str">
        <f>"I-PAYMENT"</f>
        <v>I-PAYMENT</v>
      </c>
      <c r="F188" s="15">
        <v>9938</v>
      </c>
      <c r="G188" s="15" t="str">
        <f>"2017122035300976"</f>
        <v>2017122035300976</v>
      </c>
      <c r="H188" s="14">
        <v>1325.25</v>
      </c>
      <c r="I188" s="15" t="s">
        <v>28</v>
      </c>
      <c r="J188" s="14">
        <v>157203.69</v>
      </c>
      <c r="K188" s="15" t="s">
        <v>26</v>
      </c>
      <c r="L188" s="15">
        <v>163156</v>
      </c>
      <c r="M188" s="15" t="str">
        <f>"Pay to TNB: 220543728710"</f>
        <v>Pay to TNB: 220543728710</v>
      </c>
      <c r="O188" s="15">
        <v>1</v>
      </c>
    </row>
    <row r="189" spans="1:17" x14ac:dyDescent="0.25">
      <c r="A189" s="15">
        <v>8003879954</v>
      </c>
      <c r="B189" s="15">
        <v>46</v>
      </c>
      <c r="C189" s="15">
        <v>20122017</v>
      </c>
      <c r="D189" s="15">
        <v>341</v>
      </c>
      <c r="E189" s="15" t="str">
        <f>"TR IBG"</f>
        <v>TR IBG</v>
      </c>
      <c r="F189" s="15">
        <v>9938</v>
      </c>
      <c r="G189" s="15" t="str">
        <f>"24374815"</f>
        <v>24374815</v>
      </c>
      <c r="H189" s="14">
        <v>3180</v>
      </c>
      <c r="I189" s="15" t="s">
        <v>28</v>
      </c>
      <c r="J189" s="14">
        <v>158528.94</v>
      </c>
      <c r="K189" s="15" t="s">
        <v>26</v>
      </c>
      <c r="L189" s="15">
        <v>163157</v>
      </c>
      <c r="M189" s="15" t="str">
        <f>"REDBERRY OUTDOORS SD"</f>
        <v>REDBERRY OUTDOORS SD</v>
      </c>
      <c r="O189" s="15">
        <v>1</v>
      </c>
      <c r="P189" s="15" t="str">
        <f>"PGTEFT2817"</f>
        <v>PGTEFT2817</v>
      </c>
      <c r="Q189" s="15" t="str">
        <f>"RBO11108"</f>
        <v>RBO11108</v>
      </c>
    </row>
    <row r="190" spans="1:17" x14ac:dyDescent="0.25">
      <c r="A190" s="15">
        <v>8003879954</v>
      </c>
      <c r="B190" s="15">
        <v>45</v>
      </c>
      <c r="C190" s="15">
        <v>20122017</v>
      </c>
      <c r="D190" s="15">
        <v>299</v>
      </c>
      <c r="E190" s="15" t="str">
        <f>"GST"</f>
        <v>GST</v>
      </c>
      <c r="F190" s="15">
        <v>9938</v>
      </c>
      <c r="G190" s="15" t="str">
        <f>"24374815"</f>
        <v>24374815</v>
      </c>
      <c r="H190" s="14">
        <v>0.01</v>
      </c>
      <c r="I190" s="15" t="s">
        <v>28</v>
      </c>
      <c r="J190" s="14">
        <v>161708.94</v>
      </c>
      <c r="K190" s="15" t="s">
        <v>26</v>
      </c>
      <c r="L190" s="15">
        <v>163157</v>
      </c>
      <c r="M190" s="15" t="str">
        <f>"PGTEFT2817          RBO11108"</f>
        <v>PGTEFT2817          RBO11108</v>
      </c>
      <c r="O190" s="15">
        <v>1</v>
      </c>
    </row>
    <row r="191" spans="1:17" x14ac:dyDescent="0.25">
      <c r="A191" s="15">
        <v>8003879954</v>
      </c>
      <c r="B191" s="15">
        <v>44</v>
      </c>
      <c r="C191" s="15">
        <v>20122017</v>
      </c>
      <c r="D191" s="15">
        <v>489</v>
      </c>
      <c r="E191" s="15" t="str">
        <f>"OTHER TRANSFER FEE"</f>
        <v>OTHER TRANSFER FEE</v>
      </c>
      <c r="F191" s="15">
        <v>9938</v>
      </c>
      <c r="G191" s="15" t="str">
        <f>"24374815"</f>
        <v>24374815</v>
      </c>
      <c r="H191" s="14">
        <v>0.1</v>
      </c>
      <c r="I191" s="15" t="s">
        <v>28</v>
      </c>
      <c r="J191" s="14">
        <v>161708.95000000001</v>
      </c>
      <c r="K191" s="15" t="s">
        <v>26</v>
      </c>
      <c r="L191" s="15">
        <v>163157</v>
      </c>
      <c r="M191" s="15" t="str">
        <f>"PGTEFT2817          RBO11108"</f>
        <v>PGTEFT2817          RBO11108</v>
      </c>
      <c r="O191" s="15">
        <v>1</v>
      </c>
    </row>
    <row r="192" spans="1:17" x14ac:dyDescent="0.25">
      <c r="A192" s="15">
        <v>8003879954</v>
      </c>
      <c r="B192" s="15">
        <v>43</v>
      </c>
      <c r="C192" s="15">
        <v>20122017</v>
      </c>
      <c r="D192" s="15">
        <v>341</v>
      </c>
      <c r="E192" s="15" t="str">
        <f>"TR IBG"</f>
        <v>TR IBG</v>
      </c>
      <c r="F192" s="15">
        <v>9938</v>
      </c>
      <c r="G192" s="15" t="str">
        <f>"24389944"</f>
        <v>24389944</v>
      </c>
      <c r="H192" s="14">
        <v>1150</v>
      </c>
      <c r="I192" s="15" t="s">
        <v>28</v>
      </c>
      <c r="J192" s="14">
        <v>161709.04999999999</v>
      </c>
      <c r="K192" s="15" t="s">
        <v>26</v>
      </c>
      <c r="L192" s="15">
        <v>163157</v>
      </c>
      <c r="M192" s="15" t="str">
        <f>"THE LEGEND NYONYA HO"</f>
        <v>THE LEGEND NYONYA HO</v>
      </c>
      <c r="O192" s="15">
        <v>1</v>
      </c>
      <c r="P192" s="15" t="str">
        <f>"PGTEFT2819"</f>
        <v>PGTEFT2819</v>
      </c>
      <c r="Q192" s="15" t="str">
        <f>"MISS SOPHIA SHOPPING"</f>
        <v>MISS SOPHIA SHOPPING</v>
      </c>
    </row>
    <row r="193" spans="1:17" x14ac:dyDescent="0.25">
      <c r="A193" s="15">
        <v>8003879954</v>
      </c>
      <c r="B193" s="15">
        <v>42</v>
      </c>
      <c r="C193" s="15">
        <v>20122017</v>
      </c>
      <c r="D193" s="15">
        <v>299</v>
      </c>
      <c r="E193" s="15" t="str">
        <f>"GST"</f>
        <v>GST</v>
      </c>
      <c r="F193" s="15">
        <v>9938</v>
      </c>
      <c r="G193" s="15" t="str">
        <f>"24389944"</f>
        <v>24389944</v>
      </c>
      <c r="H193" s="14">
        <v>0.01</v>
      </c>
      <c r="I193" s="15" t="s">
        <v>28</v>
      </c>
      <c r="J193" s="14">
        <v>162859.04999999999</v>
      </c>
      <c r="K193" s="15" t="s">
        <v>26</v>
      </c>
      <c r="L193" s="15">
        <v>163157</v>
      </c>
      <c r="M193" s="15" t="str">
        <f>"PGTEFT2819          MISS SOPHIA SHOPPING"</f>
        <v>PGTEFT2819          MISS SOPHIA SHOPPING</v>
      </c>
      <c r="O193" s="15">
        <v>1</v>
      </c>
    </row>
    <row r="194" spans="1:17" x14ac:dyDescent="0.25">
      <c r="A194" s="15">
        <v>8003879954</v>
      </c>
      <c r="B194" s="15">
        <v>41</v>
      </c>
      <c r="C194" s="15">
        <v>20122017</v>
      </c>
      <c r="D194" s="15">
        <v>489</v>
      </c>
      <c r="E194" s="15" t="str">
        <f>"OTHER TRANSFER FEE"</f>
        <v>OTHER TRANSFER FEE</v>
      </c>
      <c r="F194" s="15">
        <v>9938</v>
      </c>
      <c r="G194" s="15" t="str">
        <f>"24389944"</f>
        <v>24389944</v>
      </c>
      <c r="H194" s="14">
        <v>0.1</v>
      </c>
      <c r="I194" s="15" t="s">
        <v>28</v>
      </c>
      <c r="J194" s="14">
        <v>162859.06</v>
      </c>
      <c r="K194" s="15" t="s">
        <v>26</v>
      </c>
      <c r="L194" s="15">
        <v>163157</v>
      </c>
      <c r="M194" s="15" t="str">
        <f>"PGTEFT2819          MISS SOPHIA SHOPPING"</f>
        <v>PGTEFT2819          MISS SOPHIA SHOPPING</v>
      </c>
      <c r="O194" s="15">
        <v>1</v>
      </c>
    </row>
    <row r="195" spans="1:17" x14ac:dyDescent="0.25">
      <c r="A195" s="15">
        <v>8003879954</v>
      </c>
      <c r="B195" s="15">
        <v>40</v>
      </c>
      <c r="C195" s="15">
        <v>20122017</v>
      </c>
      <c r="D195" s="15">
        <v>60</v>
      </c>
      <c r="E195" s="15" t="str">
        <f>"TR TO C/A"</f>
        <v>TR TO C/A</v>
      </c>
      <c r="F195" s="15">
        <v>9938</v>
      </c>
      <c r="G195" s="15" t="str">
        <f>"24374790"</f>
        <v>24374790</v>
      </c>
      <c r="H195" s="14">
        <v>80.5</v>
      </c>
      <c r="I195" s="15" t="s">
        <v>28</v>
      </c>
      <c r="J195" s="14">
        <v>162859.16</v>
      </c>
      <c r="K195" s="15" t="s">
        <v>26</v>
      </c>
      <c r="L195" s="15">
        <v>163157</v>
      </c>
      <c r="M195" s="15" t="str">
        <f>"SALES-OCT'17 TROPICAL SPICE GARD"</f>
        <v>SALES-OCT'17 TROPICAL SPICE GARD</v>
      </c>
      <c r="O195" s="15">
        <v>1</v>
      </c>
      <c r="P195" s="15" t="str">
        <f>"PGTEFT2820"</f>
        <v>PGTEFT2820</v>
      </c>
      <c r="Q195" s="15" t="str">
        <f>"TSGINV170937"</f>
        <v>TSGINV170937</v>
      </c>
    </row>
    <row r="196" spans="1:17" x14ac:dyDescent="0.25">
      <c r="A196" s="15">
        <v>8003879954</v>
      </c>
      <c r="B196" s="15">
        <v>39</v>
      </c>
      <c r="C196" s="15">
        <v>20122017</v>
      </c>
      <c r="D196" s="15">
        <v>60</v>
      </c>
      <c r="E196" s="15" t="str">
        <f>"TR TO C/A"</f>
        <v>TR TO C/A</v>
      </c>
      <c r="F196" s="15">
        <v>9938</v>
      </c>
      <c r="G196" s="15" t="str">
        <f>"24374744"</f>
        <v>24374744</v>
      </c>
      <c r="H196" s="14">
        <v>720</v>
      </c>
      <c r="I196" s="15" t="s">
        <v>28</v>
      </c>
      <c r="J196" s="14">
        <v>162939.66</v>
      </c>
      <c r="K196" s="15" t="s">
        <v>26</v>
      </c>
      <c r="L196" s="15">
        <v>163157</v>
      </c>
      <c r="M196" s="15" t="str">
        <f>"GUIDE FEE NOV &amp; DEC TOH KIM HOCK"</f>
        <v>GUIDE FEE NOV &amp; DEC TOH KIM HOCK</v>
      </c>
      <c r="O196" s="15">
        <v>1</v>
      </c>
      <c r="P196" s="15" t="str">
        <f>"PGTEFT2825"</f>
        <v>PGTEFT2825</v>
      </c>
      <c r="Q196" s="15" t="str">
        <f>"INV126T TO 130T"</f>
        <v>INV126T TO 130T</v>
      </c>
    </row>
    <row r="197" spans="1:17" x14ac:dyDescent="0.25">
      <c r="A197" s="15">
        <v>8003879954</v>
      </c>
      <c r="B197" s="15">
        <v>38</v>
      </c>
      <c r="C197" s="15">
        <v>20122017</v>
      </c>
      <c r="D197" s="15">
        <v>341</v>
      </c>
      <c r="E197" s="15" t="str">
        <f>"TR IBG"</f>
        <v>TR IBG</v>
      </c>
      <c r="F197" s="15">
        <v>9938</v>
      </c>
      <c r="G197" s="15" t="str">
        <f>"24374800"</f>
        <v>24374800</v>
      </c>
      <c r="H197" s="14">
        <v>352.1</v>
      </c>
      <c r="I197" s="15" t="s">
        <v>28</v>
      </c>
      <c r="J197" s="14">
        <v>163659.66</v>
      </c>
      <c r="K197" s="15" t="s">
        <v>26</v>
      </c>
      <c r="L197" s="15">
        <v>163156</v>
      </c>
      <c r="M197" s="15" t="str">
        <f>"STUDIO HOWARD"</f>
        <v>STUDIO HOWARD</v>
      </c>
      <c r="O197" s="15">
        <v>1</v>
      </c>
      <c r="P197" s="15" t="str">
        <f>"PGTEFT2818"</f>
        <v>PGTEFT2818</v>
      </c>
      <c r="Q197" s="15" t="str">
        <f>"SHB00620 SHB00638"</f>
        <v>SHB00620 SHB00638</v>
      </c>
    </row>
    <row r="198" spans="1:17" x14ac:dyDescent="0.25">
      <c r="A198" s="15">
        <v>8003879954</v>
      </c>
      <c r="B198" s="15">
        <v>37</v>
      </c>
      <c r="C198" s="15">
        <v>20122017</v>
      </c>
      <c r="D198" s="15">
        <v>299</v>
      </c>
      <c r="E198" s="15" t="str">
        <f>"GST"</f>
        <v>GST</v>
      </c>
      <c r="F198" s="15">
        <v>9938</v>
      </c>
      <c r="G198" s="15" t="str">
        <f>"24374800"</f>
        <v>24374800</v>
      </c>
      <c r="H198" s="14">
        <v>0.01</v>
      </c>
      <c r="I198" s="15" t="s">
        <v>28</v>
      </c>
      <c r="J198" s="14">
        <v>164011.76</v>
      </c>
      <c r="K198" s="15" t="s">
        <v>26</v>
      </c>
      <c r="L198" s="15">
        <v>163156</v>
      </c>
      <c r="M198" s="15" t="str">
        <f>"PGTEFT2818          SHB00620 SHB00638"</f>
        <v>PGTEFT2818          SHB00620 SHB00638</v>
      </c>
      <c r="O198" s="15">
        <v>1</v>
      </c>
    </row>
    <row r="199" spans="1:17" x14ac:dyDescent="0.25">
      <c r="A199" s="15">
        <v>8003879954</v>
      </c>
      <c r="B199" s="15">
        <v>36</v>
      </c>
      <c r="C199" s="15">
        <v>20122017</v>
      </c>
      <c r="D199" s="15">
        <v>489</v>
      </c>
      <c r="E199" s="15" t="str">
        <f>"OTHER TRANSFER FEE"</f>
        <v>OTHER TRANSFER FEE</v>
      </c>
      <c r="F199" s="15">
        <v>9938</v>
      </c>
      <c r="G199" s="15" t="str">
        <f>"24374800"</f>
        <v>24374800</v>
      </c>
      <c r="H199" s="14">
        <v>0.1</v>
      </c>
      <c r="I199" s="15" t="s">
        <v>28</v>
      </c>
      <c r="J199" s="14">
        <v>164011.76999999999</v>
      </c>
      <c r="K199" s="15" t="s">
        <v>26</v>
      </c>
      <c r="L199" s="15">
        <v>163156</v>
      </c>
      <c r="M199" s="15" t="str">
        <f>"PGTEFT2818          SHB00620 SHB00638"</f>
        <v>PGTEFT2818          SHB00620 SHB00638</v>
      </c>
      <c r="O199" s="15">
        <v>1</v>
      </c>
    </row>
    <row r="200" spans="1:17" x14ac:dyDescent="0.25">
      <c r="A200" s="15">
        <v>8003879954</v>
      </c>
      <c r="B200" s="15">
        <v>35</v>
      </c>
      <c r="C200" s="15">
        <v>20122017</v>
      </c>
      <c r="D200" s="15">
        <v>341</v>
      </c>
      <c r="E200" s="15" t="str">
        <f>"TR IBG"</f>
        <v>TR IBG</v>
      </c>
      <c r="F200" s="15">
        <v>9938</v>
      </c>
      <c r="G200" s="15" t="str">
        <f>"24374719"</f>
        <v>24374719</v>
      </c>
      <c r="H200" s="14">
        <v>207.65</v>
      </c>
      <c r="I200" s="15" t="s">
        <v>28</v>
      </c>
      <c r="J200" s="14">
        <v>164011.87</v>
      </c>
      <c r="K200" s="15" t="s">
        <v>26</v>
      </c>
      <c r="L200" s="15">
        <v>163156</v>
      </c>
      <c r="M200" s="15" t="str">
        <f>"TOONG LI STATIONERY"</f>
        <v>TOONG LI STATIONERY</v>
      </c>
      <c r="O200" s="15">
        <v>1</v>
      </c>
      <c r="P200" s="15" t="str">
        <f>"PGTEFT2826"</f>
        <v>PGTEFT2826</v>
      </c>
      <c r="Q200" s="15" t="str">
        <f>"IV-133532 133638"</f>
        <v>IV-133532 133638</v>
      </c>
    </row>
    <row r="201" spans="1:17" x14ac:dyDescent="0.25">
      <c r="A201" s="15">
        <v>8003879954</v>
      </c>
      <c r="B201" s="15">
        <v>34</v>
      </c>
      <c r="C201" s="15">
        <v>20122017</v>
      </c>
      <c r="D201" s="15">
        <v>299</v>
      </c>
      <c r="E201" s="15" t="str">
        <f>"GST"</f>
        <v>GST</v>
      </c>
      <c r="F201" s="15">
        <v>9938</v>
      </c>
      <c r="G201" s="15" t="str">
        <f>"24374719"</f>
        <v>24374719</v>
      </c>
      <c r="H201" s="14">
        <v>0.01</v>
      </c>
      <c r="I201" s="15" t="s">
        <v>28</v>
      </c>
      <c r="J201" s="14">
        <v>164219.51999999999</v>
      </c>
      <c r="K201" s="15" t="s">
        <v>26</v>
      </c>
      <c r="L201" s="15">
        <v>163156</v>
      </c>
      <c r="M201" s="15" t="str">
        <f>"PGTEFT2826          IV-133532 133638"</f>
        <v>PGTEFT2826          IV-133532 133638</v>
      </c>
      <c r="O201" s="15">
        <v>1</v>
      </c>
    </row>
    <row r="202" spans="1:17" x14ac:dyDescent="0.25">
      <c r="A202" s="15">
        <v>8003879954</v>
      </c>
      <c r="B202" s="15">
        <v>33</v>
      </c>
      <c r="C202" s="15">
        <v>20122017</v>
      </c>
      <c r="D202" s="15">
        <v>489</v>
      </c>
      <c r="E202" s="15" t="str">
        <f>"OTHER TRANSFER FEE"</f>
        <v>OTHER TRANSFER FEE</v>
      </c>
      <c r="F202" s="15">
        <v>9938</v>
      </c>
      <c r="G202" s="15" t="str">
        <f>"24374719"</f>
        <v>24374719</v>
      </c>
      <c r="H202" s="14">
        <v>0.1</v>
      </c>
      <c r="I202" s="15" t="s">
        <v>28</v>
      </c>
      <c r="J202" s="14">
        <v>164219.53</v>
      </c>
      <c r="K202" s="15" t="s">
        <v>26</v>
      </c>
      <c r="L202" s="15">
        <v>163156</v>
      </c>
      <c r="M202" s="15" t="str">
        <f>"PGTEFT2826          IV-133532 133638"</f>
        <v>PGTEFT2826          IV-133532 133638</v>
      </c>
      <c r="O202" s="15">
        <v>1</v>
      </c>
    </row>
    <row r="203" spans="1:17" x14ac:dyDescent="0.25">
      <c r="A203" s="15">
        <v>8003879954</v>
      </c>
      <c r="B203" s="15">
        <v>32</v>
      </c>
      <c r="C203" s="15">
        <v>20122017</v>
      </c>
      <c r="D203" s="15">
        <v>341</v>
      </c>
      <c r="E203" s="15" t="str">
        <f>"TR IBG"</f>
        <v>TR IBG</v>
      </c>
      <c r="F203" s="15">
        <v>9938</v>
      </c>
      <c r="G203" s="15" t="str">
        <f>"24374773"</f>
        <v>24374773</v>
      </c>
      <c r="H203" s="14">
        <v>3037.36</v>
      </c>
      <c r="I203" s="15" t="s">
        <v>28</v>
      </c>
      <c r="J203" s="14">
        <v>164219.63</v>
      </c>
      <c r="K203" s="15" t="s">
        <v>26</v>
      </c>
      <c r="L203" s="15">
        <v>163156</v>
      </c>
      <c r="M203" s="15" t="str">
        <f>"TNT EXPRESS WORLDWID"</f>
        <v>TNT EXPRESS WORLDWID</v>
      </c>
      <c r="O203" s="15">
        <v>1</v>
      </c>
      <c r="P203" s="15" t="str">
        <f>"PGTEFT2821"</f>
        <v>PGTEFT2821</v>
      </c>
      <c r="Q203" s="15" t="str">
        <f>"0727677 07281240-41"</f>
        <v>0727677 07281240-41</v>
      </c>
    </row>
    <row r="204" spans="1:17" x14ac:dyDescent="0.25">
      <c r="A204" s="15">
        <v>8003879954</v>
      </c>
      <c r="B204" s="15">
        <v>31</v>
      </c>
      <c r="C204" s="15">
        <v>20122017</v>
      </c>
      <c r="D204" s="15">
        <v>299</v>
      </c>
      <c r="E204" s="15" t="str">
        <f>"GST"</f>
        <v>GST</v>
      </c>
      <c r="F204" s="15">
        <v>9938</v>
      </c>
      <c r="G204" s="15" t="str">
        <f>"24374773"</f>
        <v>24374773</v>
      </c>
      <c r="H204" s="14">
        <v>0.01</v>
      </c>
      <c r="I204" s="15" t="s">
        <v>28</v>
      </c>
      <c r="J204" s="14">
        <v>167256.99</v>
      </c>
      <c r="K204" s="15" t="s">
        <v>26</v>
      </c>
      <c r="L204" s="15">
        <v>163156</v>
      </c>
      <c r="M204" s="15" t="str">
        <f>"PGTEFT2821          0727677 07281240-41"</f>
        <v>PGTEFT2821          0727677 07281240-41</v>
      </c>
      <c r="O204" s="15">
        <v>1</v>
      </c>
    </row>
    <row r="205" spans="1:17" x14ac:dyDescent="0.25">
      <c r="A205" s="15">
        <v>8003879954</v>
      </c>
      <c r="B205" s="15">
        <v>30</v>
      </c>
      <c r="C205" s="15">
        <v>20122017</v>
      </c>
      <c r="D205" s="15">
        <v>489</v>
      </c>
      <c r="E205" s="15" t="str">
        <f>"OTHER TRANSFER FEE"</f>
        <v>OTHER TRANSFER FEE</v>
      </c>
      <c r="F205" s="15">
        <v>9938</v>
      </c>
      <c r="G205" s="15" t="str">
        <f>"24374773"</f>
        <v>24374773</v>
      </c>
      <c r="H205" s="14">
        <v>0.1</v>
      </c>
      <c r="I205" s="15" t="s">
        <v>28</v>
      </c>
      <c r="J205" s="14">
        <v>167257</v>
      </c>
      <c r="K205" s="15" t="s">
        <v>26</v>
      </c>
      <c r="L205" s="15">
        <v>163156</v>
      </c>
      <c r="M205" s="15" t="str">
        <f>"PGTEFT2821          0727677 07281240-41"</f>
        <v>PGTEFT2821          0727677 07281240-41</v>
      </c>
      <c r="O205" s="15">
        <v>1</v>
      </c>
    </row>
    <row r="206" spans="1:17" x14ac:dyDescent="0.25">
      <c r="A206" s="15">
        <v>8003879954</v>
      </c>
      <c r="B206" s="15">
        <v>29</v>
      </c>
      <c r="C206" s="15">
        <v>20122017</v>
      </c>
      <c r="D206" s="15">
        <v>341</v>
      </c>
      <c r="E206" s="15" t="str">
        <f>"TR IBG"</f>
        <v>TR IBG</v>
      </c>
      <c r="F206" s="15">
        <v>9938</v>
      </c>
      <c r="G206" s="15" t="str">
        <f>"24375770"</f>
        <v>24375770</v>
      </c>
      <c r="H206" s="14">
        <v>2000</v>
      </c>
      <c r="I206" s="15" t="s">
        <v>28</v>
      </c>
      <c r="J206" s="14">
        <v>167257.1</v>
      </c>
      <c r="K206" s="15" t="s">
        <v>26</v>
      </c>
      <c r="L206" s="15">
        <v>163156</v>
      </c>
      <c r="M206" s="15" t="str">
        <f>"INTI INTERNATIONAL C"</f>
        <v>INTI INTERNATIONAL C</v>
      </c>
      <c r="O206" s="15">
        <v>1</v>
      </c>
      <c r="P206" s="15" t="str">
        <f>"PGTEFT2803"</f>
        <v>PGTEFT2803</v>
      </c>
      <c r="Q206" s="15" t="str">
        <f>"PCET SUBSIDY"</f>
        <v>PCET SUBSIDY</v>
      </c>
    </row>
    <row r="207" spans="1:17" x14ac:dyDescent="0.25">
      <c r="A207" s="15">
        <v>8003879954</v>
      </c>
      <c r="B207" s="15">
        <v>28</v>
      </c>
      <c r="C207" s="15">
        <v>20122017</v>
      </c>
      <c r="D207" s="15">
        <v>299</v>
      </c>
      <c r="E207" s="15" t="str">
        <f>"GST"</f>
        <v>GST</v>
      </c>
      <c r="F207" s="15">
        <v>9938</v>
      </c>
      <c r="G207" s="15" t="str">
        <f>"24375770"</f>
        <v>24375770</v>
      </c>
      <c r="H207" s="14">
        <v>0.01</v>
      </c>
      <c r="I207" s="15" t="s">
        <v>28</v>
      </c>
      <c r="J207" s="14">
        <v>169257.1</v>
      </c>
      <c r="K207" s="15" t="s">
        <v>26</v>
      </c>
      <c r="L207" s="15">
        <v>163156</v>
      </c>
      <c r="M207" s="15" t="str">
        <f>"PGTEFT2803          PCET SUBSIDY"</f>
        <v>PGTEFT2803          PCET SUBSIDY</v>
      </c>
      <c r="O207" s="15">
        <v>1</v>
      </c>
    </row>
    <row r="208" spans="1:17" x14ac:dyDescent="0.25">
      <c r="A208" s="15">
        <v>8003879954</v>
      </c>
      <c r="B208" s="15">
        <v>27</v>
      </c>
      <c r="C208" s="15">
        <v>20122017</v>
      </c>
      <c r="D208" s="15">
        <v>489</v>
      </c>
      <c r="E208" s="15" t="str">
        <f>"OTHER TRANSFER FEE"</f>
        <v>OTHER TRANSFER FEE</v>
      </c>
      <c r="F208" s="15">
        <v>9938</v>
      </c>
      <c r="G208" s="15" t="str">
        <f>"24375770"</f>
        <v>24375770</v>
      </c>
      <c r="H208" s="14">
        <v>0.1</v>
      </c>
      <c r="I208" s="15" t="s">
        <v>28</v>
      </c>
      <c r="J208" s="14">
        <v>169257.11</v>
      </c>
      <c r="K208" s="15" t="s">
        <v>26</v>
      </c>
      <c r="L208" s="15">
        <v>163156</v>
      </c>
      <c r="M208" s="15" t="str">
        <f>"PGTEFT2803          PCET SUBSIDY"</f>
        <v>PGTEFT2803          PCET SUBSIDY</v>
      </c>
      <c r="O208" s="15">
        <v>1</v>
      </c>
    </row>
    <row r="209" spans="1:17" x14ac:dyDescent="0.25">
      <c r="A209" s="15">
        <v>8003879954</v>
      </c>
      <c r="B209" s="15">
        <v>26</v>
      </c>
      <c r="C209" s="15">
        <v>20122017</v>
      </c>
      <c r="D209" s="15">
        <v>343</v>
      </c>
      <c r="E209" s="15" t="str">
        <f>"I-PAYMENT"</f>
        <v>I-PAYMENT</v>
      </c>
      <c r="F209" s="15">
        <v>9938</v>
      </c>
      <c r="G209" s="15" t="str">
        <f>"2017122035300333"</f>
        <v>2017122035300333</v>
      </c>
      <c r="H209" s="14">
        <v>2654.75</v>
      </c>
      <c r="I209" s="15" t="s">
        <v>28</v>
      </c>
      <c r="J209" s="14">
        <v>169257.21</v>
      </c>
      <c r="K209" s="15" t="s">
        <v>26</v>
      </c>
      <c r="L209" s="15">
        <v>163039</v>
      </c>
      <c r="M209" s="15" t="str">
        <f>"Pay to TNB: 220543726302"</f>
        <v>Pay to TNB: 220543726302</v>
      </c>
      <c r="O209" s="15">
        <v>1</v>
      </c>
    </row>
    <row r="210" spans="1:17" x14ac:dyDescent="0.25">
      <c r="A210" s="15">
        <v>8003879954</v>
      </c>
      <c r="B210" s="15">
        <v>25</v>
      </c>
      <c r="C210" s="15">
        <v>20122017</v>
      </c>
      <c r="D210" s="15">
        <v>341</v>
      </c>
      <c r="E210" s="15" t="str">
        <f>"TR IBG"</f>
        <v>TR IBG</v>
      </c>
      <c r="F210" s="15">
        <v>9938</v>
      </c>
      <c r="G210" s="15" t="str">
        <f>"24374848"</f>
        <v>24374848</v>
      </c>
      <c r="H210" s="14">
        <v>61.6</v>
      </c>
      <c r="I210" s="15" t="s">
        <v>28</v>
      </c>
      <c r="J210" s="14">
        <v>171911.96</v>
      </c>
      <c r="K210" s="15" t="s">
        <v>26</v>
      </c>
      <c r="L210" s="15">
        <v>163038</v>
      </c>
      <c r="M210" s="15" t="str">
        <f>"PENELOPE YUEN LI JYN"</f>
        <v>PENELOPE YUEN LI JYN</v>
      </c>
      <c r="O210" s="15">
        <v>1</v>
      </c>
      <c r="P210" s="15" t="str">
        <f>"PGTEFT2812"</f>
        <v>PGTEFT2812</v>
      </c>
      <c r="Q210" s="15" t="str">
        <f>"INV021 022"</f>
        <v>INV021 022</v>
      </c>
    </row>
    <row r="211" spans="1:17" x14ac:dyDescent="0.25">
      <c r="A211" s="15">
        <v>8003879954</v>
      </c>
      <c r="B211" s="15">
        <v>24</v>
      </c>
      <c r="C211" s="15">
        <v>20122017</v>
      </c>
      <c r="D211" s="15">
        <v>299</v>
      </c>
      <c r="E211" s="15" t="str">
        <f>"GST"</f>
        <v>GST</v>
      </c>
      <c r="F211" s="15">
        <v>9938</v>
      </c>
      <c r="G211" s="15" t="str">
        <f>"24374848"</f>
        <v>24374848</v>
      </c>
      <c r="H211" s="14">
        <v>0.01</v>
      </c>
      <c r="I211" s="15" t="s">
        <v>28</v>
      </c>
      <c r="J211" s="14">
        <v>171973.56</v>
      </c>
      <c r="K211" s="15" t="s">
        <v>26</v>
      </c>
      <c r="L211" s="15">
        <v>163038</v>
      </c>
      <c r="M211" s="15" t="str">
        <f>"PGTEFT2812          INV021 022"</f>
        <v>PGTEFT2812          INV021 022</v>
      </c>
      <c r="O211" s="15">
        <v>1</v>
      </c>
    </row>
    <row r="212" spans="1:17" x14ac:dyDescent="0.25">
      <c r="A212" s="15">
        <v>8003879954</v>
      </c>
      <c r="B212" s="15">
        <v>23</v>
      </c>
      <c r="C212" s="15">
        <v>20122017</v>
      </c>
      <c r="D212" s="15">
        <v>489</v>
      </c>
      <c r="E212" s="15" t="str">
        <f>"OTHER TRANSFER FEE"</f>
        <v>OTHER TRANSFER FEE</v>
      </c>
      <c r="F212" s="15">
        <v>9938</v>
      </c>
      <c r="G212" s="15" t="str">
        <f>"24374848"</f>
        <v>24374848</v>
      </c>
      <c r="H212" s="14">
        <v>0.1</v>
      </c>
      <c r="I212" s="15" t="s">
        <v>28</v>
      </c>
      <c r="J212" s="14">
        <v>171973.57</v>
      </c>
      <c r="K212" s="15" t="s">
        <v>26</v>
      </c>
      <c r="L212" s="15">
        <v>163038</v>
      </c>
      <c r="M212" s="15" t="str">
        <f>"PGTEFT2812          INV021 022"</f>
        <v>PGTEFT2812          INV021 022</v>
      </c>
      <c r="O212" s="15">
        <v>1</v>
      </c>
    </row>
    <row r="213" spans="1:17" x14ac:dyDescent="0.25">
      <c r="A213" s="15">
        <v>8003879954</v>
      </c>
      <c r="B213" s="15">
        <v>22</v>
      </c>
      <c r="C213" s="15">
        <v>20122017</v>
      </c>
      <c r="D213" s="15">
        <v>341</v>
      </c>
      <c r="E213" s="15" t="str">
        <f>"TR IBG"</f>
        <v>TR IBG</v>
      </c>
      <c r="F213" s="15">
        <v>9938</v>
      </c>
      <c r="G213" s="15" t="str">
        <f>"24374821"</f>
        <v>24374821</v>
      </c>
      <c r="H213" s="14">
        <v>65</v>
      </c>
      <c r="I213" s="15" t="s">
        <v>28</v>
      </c>
      <c r="J213" s="14">
        <v>171973.67</v>
      </c>
      <c r="K213" s="15" t="s">
        <v>26</v>
      </c>
      <c r="L213" s="15">
        <v>163037</v>
      </c>
      <c r="M213" s="15" t="str">
        <f>"WONG KOOI KAM"</f>
        <v>WONG KOOI KAM</v>
      </c>
      <c r="O213" s="15">
        <v>1</v>
      </c>
      <c r="P213" s="15" t="str">
        <f>"PGTEFT2816"</f>
        <v>PGTEFT2816</v>
      </c>
      <c r="Q213" s="15" t="str">
        <f>"OCT2017"</f>
        <v>OCT2017</v>
      </c>
    </row>
    <row r="214" spans="1:17" x14ac:dyDescent="0.25">
      <c r="A214" s="15">
        <v>8003879954</v>
      </c>
      <c r="B214" s="15">
        <v>21</v>
      </c>
      <c r="C214" s="15">
        <v>20122017</v>
      </c>
      <c r="D214" s="15">
        <v>299</v>
      </c>
      <c r="E214" s="15" t="str">
        <f>"GST"</f>
        <v>GST</v>
      </c>
      <c r="F214" s="15">
        <v>9938</v>
      </c>
      <c r="G214" s="15" t="str">
        <f>"24374821"</f>
        <v>24374821</v>
      </c>
      <c r="H214" s="14">
        <v>0.01</v>
      </c>
      <c r="I214" s="15" t="s">
        <v>28</v>
      </c>
      <c r="J214" s="14">
        <v>172038.67</v>
      </c>
      <c r="K214" s="15" t="s">
        <v>26</v>
      </c>
      <c r="L214" s="15">
        <v>163037</v>
      </c>
      <c r="M214" s="15" t="str">
        <f>"PGTEFT2816          OCT2017"</f>
        <v>PGTEFT2816          OCT2017</v>
      </c>
      <c r="O214" s="15">
        <v>1</v>
      </c>
    </row>
    <row r="215" spans="1:17" x14ac:dyDescent="0.25">
      <c r="A215" s="15">
        <v>8003879954</v>
      </c>
      <c r="B215" s="15">
        <v>20</v>
      </c>
      <c r="C215" s="15">
        <v>20122017</v>
      </c>
      <c r="D215" s="15">
        <v>489</v>
      </c>
      <c r="E215" s="15" t="str">
        <f>"OTHER TRANSFER FEE"</f>
        <v>OTHER TRANSFER FEE</v>
      </c>
      <c r="F215" s="15">
        <v>9938</v>
      </c>
      <c r="G215" s="15" t="str">
        <f>"24374821"</f>
        <v>24374821</v>
      </c>
      <c r="H215" s="14">
        <v>0.1</v>
      </c>
      <c r="I215" s="15" t="s">
        <v>28</v>
      </c>
      <c r="J215" s="14">
        <v>172038.68</v>
      </c>
      <c r="K215" s="15" t="s">
        <v>26</v>
      </c>
      <c r="L215" s="15">
        <v>163037</v>
      </c>
      <c r="M215" s="15" t="str">
        <f>"PGTEFT2816          OCT2017"</f>
        <v>PGTEFT2816          OCT2017</v>
      </c>
      <c r="O215" s="15">
        <v>1</v>
      </c>
    </row>
    <row r="216" spans="1:17" x14ac:dyDescent="0.25">
      <c r="A216" s="15">
        <v>8003879954</v>
      </c>
      <c r="B216" s="15">
        <v>19</v>
      </c>
      <c r="C216" s="15">
        <v>20122017</v>
      </c>
      <c r="D216" s="15">
        <v>341</v>
      </c>
      <c r="E216" s="15" t="str">
        <f>"TR IBG"</f>
        <v>TR IBG</v>
      </c>
      <c r="F216" s="15">
        <v>9938</v>
      </c>
      <c r="G216" s="15" t="str">
        <f>"24375711"</f>
        <v>24375711</v>
      </c>
      <c r="H216" s="14">
        <v>9000</v>
      </c>
      <c r="I216" s="15" t="s">
        <v>28</v>
      </c>
      <c r="J216" s="14">
        <v>172038.78</v>
      </c>
      <c r="K216" s="15" t="s">
        <v>26</v>
      </c>
      <c r="L216" s="15">
        <v>163038</v>
      </c>
      <c r="M216" s="15" t="str">
        <f>"MAJLIS KEBUDAYAAN NE"</f>
        <v>MAJLIS KEBUDAYAAN NE</v>
      </c>
      <c r="O216" s="15">
        <v>1</v>
      </c>
      <c r="P216" s="15" t="str">
        <f>"PGTEFT2808"</f>
        <v>PGTEFT2808</v>
      </c>
      <c r="Q216" s="15" t="str">
        <f>"KKNPP-2017-02-32"</f>
        <v>KKNPP-2017-02-32</v>
      </c>
    </row>
    <row r="217" spans="1:17" x14ac:dyDescent="0.25">
      <c r="A217" s="15">
        <v>8003879954</v>
      </c>
      <c r="B217" s="15">
        <v>18</v>
      </c>
      <c r="C217" s="15">
        <v>20122017</v>
      </c>
      <c r="D217" s="15">
        <v>299</v>
      </c>
      <c r="E217" s="15" t="str">
        <f>"GST"</f>
        <v>GST</v>
      </c>
      <c r="F217" s="15">
        <v>9938</v>
      </c>
      <c r="G217" s="15" t="str">
        <f>"24375711"</f>
        <v>24375711</v>
      </c>
      <c r="H217" s="14">
        <v>0.01</v>
      </c>
      <c r="I217" s="15" t="s">
        <v>28</v>
      </c>
      <c r="J217" s="14">
        <v>181038.78</v>
      </c>
      <c r="K217" s="15" t="s">
        <v>26</v>
      </c>
      <c r="L217" s="15">
        <v>163038</v>
      </c>
      <c r="M217" s="15" t="str">
        <f>"PGTEFT2808          KKNPP-2017-02-32"</f>
        <v>PGTEFT2808          KKNPP-2017-02-32</v>
      </c>
      <c r="O217" s="15">
        <v>1</v>
      </c>
    </row>
    <row r="218" spans="1:17" x14ac:dyDescent="0.25">
      <c r="A218" s="15">
        <v>8003879954</v>
      </c>
      <c r="B218" s="15">
        <v>17</v>
      </c>
      <c r="C218" s="15">
        <v>20122017</v>
      </c>
      <c r="D218" s="15">
        <v>489</v>
      </c>
      <c r="E218" s="15" t="str">
        <f>"OTHER TRANSFER FEE"</f>
        <v>OTHER TRANSFER FEE</v>
      </c>
      <c r="F218" s="15">
        <v>9938</v>
      </c>
      <c r="G218" s="15" t="str">
        <f>"24375711"</f>
        <v>24375711</v>
      </c>
      <c r="H218" s="14">
        <v>0.1</v>
      </c>
      <c r="I218" s="15" t="s">
        <v>28</v>
      </c>
      <c r="J218" s="14">
        <v>181038.79</v>
      </c>
      <c r="K218" s="15" t="s">
        <v>26</v>
      </c>
      <c r="L218" s="15">
        <v>163038</v>
      </c>
      <c r="M218" s="15" t="str">
        <f>"PGTEFT2808          KKNPP-2017-02-32"</f>
        <v>PGTEFT2808          KKNPP-2017-02-32</v>
      </c>
      <c r="O218" s="15">
        <v>1</v>
      </c>
    </row>
    <row r="219" spans="1:17" x14ac:dyDescent="0.25">
      <c r="A219" s="15">
        <v>8003879954</v>
      </c>
      <c r="B219" s="15">
        <v>16</v>
      </c>
      <c r="C219" s="15">
        <v>20122017</v>
      </c>
      <c r="D219" s="15">
        <v>341</v>
      </c>
      <c r="E219" s="15" t="str">
        <f>"TR IBG"</f>
        <v>TR IBG</v>
      </c>
      <c r="F219" s="15">
        <v>9938</v>
      </c>
      <c r="G219" s="15" t="str">
        <f>"24375749"</f>
        <v>24375749</v>
      </c>
      <c r="H219" s="14">
        <v>720</v>
      </c>
      <c r="I219" s="15" t="s">
        <v>28</v>
      </c>
      <c r="J219" s="14">
        <v>181038.89</v>
      </c>
      <c r="K219" s="15" t="s">
        <v>26</v>
      </c>
      <c r="L219" s="15">
        <v>163038</v>
      </c>
      <c r="M219" s="15" t="str">
        <f>"LIANG CHOW MING"</f>
        <v>LIANG CHOW MING</v>
      </c>
      <c r="O219" s="15">
        <v>1</v>
      </c>
      <c r="P219" s="15" t="str">
        <f>"PGTEFT2806"</f>
        <v>PGTEFT2806</v>
      </c>
      <c r="Q219" s="15" t="str">
        <f>"INV19549-19554"</f>
        <v>INV19549-19554</v>
      </c>
    </row>
    <row r="220" spans="1:17" x14ac:dyDescent="0.25">
      <c r="A220" s="15">
        <v>8003879954</v>
      </c>
      <c r="B220" s="15">
        <v>15</v>
      </c>
      <c r="C220" s="15">
        <v>20122017</v>
      </c>
      <c r="D220" s="15">
        <v>299</v>
      </c>
      <c r="E220" s="15" t="str">
        <f>"GST"</f>
        <v>GST</v>
      </c>
      <c r="F220" s="15">
        <v>9938</v>
      </c>
      <c r="G220" s="15" t="str">
        <f>"24375749"</f>
        <v>24375749</v>
      </c>
      <c r="H220" s="14">
        <v>0.01</v>
      </c>
      <c r="I220" s="15" t="s">
        <v>28</v>
      </c>
      <c r="J220" s="14">
        <v>181758.89</v>
      </c>
      <c r="K220" s="15" t="s">
        <v>26</v>
      </c>
      <c r="L220" s="15">
        <v>163038</v>
      </c>
      <c r="M220" s="15" t="str">
        <f>"PGTEFT2806          INV19549-19554"</f>
        <v>PGTEFT2806          INV19549-19554</v>
      </c>
      <c r="O220" s="15">
        <v>1</v>
      </c>
    </row>
    <row r="221" spans="1:17" x14ac:dyDescent="0.25">
      <c r="A221" s="15">
        <v>8003879954</v>
      </c>
      <c r="B221" s="15">
        <v>14</v>
      </c>
      <c r="C221" s="15">
        <v>20122017</v>
      </c>
      <c r="D221" s="15">
        <v>489</v>
      </c>
      <c r="E221" s="15" t="str">
        <f>"OTHER TRANSFER FEE"</f>
        <v>OTHER TRANSFER FEE</v>
      </c>
      <c r="F221" s="15">
        <v>9938</v>
      </c>
      <c r="G221" s="15" t="str">
        <f>"24375749"</f>
        <v>24375749</v>
      </c>
      <c r="H221" s="14">
        <v>0.1</v>
      </c>
      <c r="I221" s="15" t="s">
        <v>28</v>
      </c>
      <c r="J221" s="14">
        <v>181758.9</v>
      </c>
      <c r="K221" s="15" t="s">
        <v>26</v>
      </c>
      <c r="L221" s="15">
        <v>163038</v>
      </c>
      <c r="M221" s="15" t="str">
        <f>"PGTEFT2806          INV19549-19554"</f>
        <v>PGTEFT2806          INV19549-19554</v>
      </c>
      <c r="O221" s="15">
        <v>1</v>
      </c>
    </row>
    <row r="222" spans="1:17" x14ac:dyDescent="0.25">
      <c r="A222" s="15">
        <v>8003879954</v>
      </c>
      <c r="B222" s="15">
        <v>13</v>
      </c>
      <c r="C222" s="15">
        <v>20122017</v>
      </c>
      <c r="D222" s="15">
        <v>341</v>
      </c>
      <c r="E222" s="15" t="str">
        <f>"TR IBG"</f>
        <v>TR IBG</v>
      </c>
      <c r="F222" s="15">
        <v>9938</v>
      </c>
      <c r="G222" s="15" t="str">
        <f>"24375690"</f>
        <v>24375690</v>
      </c>
      <c r="H222" s="14">
        <v>1000</v>
      </c>
      <c r="I222" s="15" t="s">
        <v>28</v>
      </c>
      <c r="J222" s="14">
        <v>181759</v>
      </c>
      <c r="K222" s="15" t="s">
        <v>26</v>
      </c>
      <c r="L222" s="15">
        <v>163037</v>
      </c>
      <c r="M222" s="15" t="str">
        <f>"NORIZEIGHT VENTURES"</f>
        <v>NORIZEIGHT VENTURES</v>
      </c>
      <c r="O222" s="15">
        <v>1</v>
      </c>
      <c r="P222" s="15" t="str">
        <f>"PGTEFT2810"</f>
        <v>PGTEFT2810</v>
      </c>
      <c r="Q222" s="15" t="str">
        <f>"NV2230"</f>
        <v>NV2230</v>
      </c>
    </row>
    <row r="223" spans="1:17" x14ac:dyDescent="0.25">
      <c r="A223" s="15">
        <v>8003879954</v>
      </c>
      <c r="B223" s="15">
        <v>12</v>
      </c>
      <c r="C223" s="15">
        <v>20122017</v>
      </c>
      <c r="D223" s="15">
        <v>299</v>
      </c>
      <c r="E223" s="15" t="str">
        <f>"GST"</f>
        <v>GST</v>
      </c>
      <c r="F223" s="15">
        <v>9938</v>
      </c>
      <c r="G223" s="15" t="str">
        <f>"24375690"</f>
        <v>24375690</v>
      </c>
      <c r="H223" s="14">
        <v>0.01</v>
      </c>
      <c r="I223" s="15" t="s">
        <v>28</v>
      </c>
      <c r="J223" s="14">
        <v>182759</v>
      </c>
      <c r="K223" s="15" t="s">
        <v>26</v>
      </c>
      <c r="L223" s="15">
        <v>163037</v>
      </c>
      <c r="M223" s="15" t="str">
        <f>"PGTEFT2810          NV2230"</f>
        <v>PGTEFT2810          NV2230</v>
      </c>
      <c r="O223" s="15">
        <v>1</v>
      </c>
    </row>
    <row r="224" spans="1:17" x14ac:dyDescent="0.25">
      <c r="A224" s="15">
        <v>8003879954</v>
      </c>
      <c r="B224" s="15">
        <v>11</v>
      </c>
      <c r="C224" s="15">
        <v>20122017</v>
      </c>
      <c r="D224" s="15">
        <v>489</v>
      </c>
      <c r="E224" s="15" t="str">
        <f>"OTHER TRANSFER FEE"</f>
        <v>OTHER TRANSFER FEE</v>
      </c>
      <c r="F224" s="15">
        <v>9938</v>
      </c>
      <c r="G224" s="15" t="str">
        <f>"24375690"</f>
        <v>24375690</v>
      </c>
      <c r="H224" s="14">
        <v>0.1</v>
      </c>
      <c r="I224" s="15" t="s">
        <v>28</v>
      </c>
      <c r="J224" s="14">
        <v>182759.01</v>
      </c>
      <c r="K224" s="15" t="s">
        <v>26</v>
      </c>
      <c r="L224" s="15">
        <v>163037</v>
      </c>
      <c r="M224" s="15" t="str">
        <f>"PGTEFT2810          NV2230"</f>
        <v>PGTEFT2810          NV2230</v>
      </c>
      <c r="O224" s="15">
        <v>1</v>
      </c>
    </row>
    <row r="225" spans="1:17" x14ac:dyDescent="0.25">
      <c r="A225" s="15">
        <v>8003879954</v>
      </c>
      <c r="B225" s="15">
        <v>10</v>
      </c>
      <c r="C225" s="15">
        <v>20122017</v>
      </c>
      <c r="D225" s="15">
        <v>341</v>
      </c>
      <c r="E225" s="15" t="str">
        <f>"TR IBG"</f>
        <v>TR IBG</v>
      </c>
      <c r="F225" s="15">
        <v>9938</v>
      </c>
      <c r="G225" s="15" t="str">
        <f>"24375720"</f>
        <v>24375720</v>
      </c>
      <c r="H225" s="14">
        <v>360</v>
      </c>
      <c r="I225" s="15" t="s">
        <v>28</v>
      </c>
      <c r="J225" s="14">
        <v>182759.11</v>
      </c>
      <c r="K225" s="15" t="s">
        <v>26</v>
      </c>
      <c r="L225" s="15">
        <v>163037</v>
      </c>
      <c r="M225" s="15" t="str">
        <f>"LIM WOOI HONG"</f>
        <v>LIM WOOI HONG</v>
      </c>
      <c r="O225" s="15">
        <v>1</v>
      </c>
      <c r="P225" s="15" t="str">
        <f>"PGTEFT2807"</f>
        <v>PGTEFT2807</v>
      </c>
      <c r="Q225" s="15" t="str">
        <f>"INV0003-0006"</f>
        <v>INV0003-0006</v>
      </c>
    </row>
    <row r="226" spans="1:17" x14ac:dyDescent="0.25">
      <c r="A226" s="15">
        <v>8003879954</v>
      </c>
      <c r="B226" s="15">
        <v>9</v>
      </c>
      <c r="C226" s="15">
        <v>20122017</v>
      </c>
      <c r="D226" s="15">
        <v>299</v>
      </c>
      <c r="E226" s="15" t="str">
        <f>"GST"</f>
        <v>GST</v>
      </c>
      <c r="F226" s="15">
        <v>9938</v>
      </c>
      <c r="G226" s="15" t="str">
        <f>"24375720"</f>
        <v>24375720</v>
      </c>
      <c r="H226" s="14">
        <v>0.01</v>
      </c>
      <c r="I226" s="15" t="s">
        <v>28</v>
      </c>
      <c r="J226" s="14">
        <v>183119.11</v>
      </c>
      <c r="K226" s="15" t="s">
        <v>26</v>
      </c>
      <c r="L226" s="15">
        <v>163037</v>
      </c>
      <c r="M226" s="15" t="str">
        <f>"PGTEFT2807          INV0003-0006"</f>
        <v>PGTEFT2807          INV0003-0006</v>
      </c>
      <c r="O226" s="15">
        <v>1</v>
      </c>
    </row>
    <row r="227" spans="1:17" x14ac:dyDescent="0.25">
      <c r="A227" s="15">
        <v>8003879954</v>
      </c>
      <c r="B227" s="15">
        <v>8</v>
      </c>
      <c r="C227" s="15">
        <v>20122017</v>
      </c>
      <c r="D227" s="15">
        <v>489</v>
      </c>
      <c r="E227" s="15" t="str">
        <f>"OTHER TRANSFER FEE"</f>
        <v>OTHER TRANSFER FEE</v>
      </c>
      <c r="F227" s="15">
        <v>9938</v>
      </c>
      <c r="G227" s="15" t="str">
        <f>"24375720"</f>
        <v>24375720</v>
      </c>
      <c r="H227" s="14">
        <v>0.1</v>
      </c>
      <c r="I227" s="15" t="s">
        <v>28</v>
      </c>
      <c r="J227" s="14">
        <v>183119.12</v>
      </c>
      <c r="K227" s="15" t="s">
        <v>26</v>
      </c>
      <c r="L227" s="15">
        <v>163037</v>
      </c>
      <c r="M227" s="15" t="str">
        <f>"PGTEFT2807          INV0003-0006"</f>
        <v>PGTEFT2807          INV0003-0006</v>
      </c>
      <c r="O227" s="15">
        <v>1</v>
      </c>
    </row>
    <row r="228" spans="1:17" x14ac:dyDescent="0.25">
      <c r="A228" s="15">
        <v>8003879954</v>
      </c>
      <c r="B228" s="15">
        <v>7</v>
      </c>
      <c r="C228" s="15">
        <v>20122017</v>
      </c>
      <c r="D228" s="15">
        <v>341</v>
      </c>
      <c r="E228" s="15" t="str">
        <f>"TR IBG"</f>
        <v>TR IBG</v>
      </c>
      <c r="F228" s="15">
        <v>9938</v>
      </c>
      <c r="G228" s="15" t="str">
        <f>"24375756"</f>
        <v>24375756</v>
      </c>
      <c r="H228" s="14">
        <v>3000</v>
      </c>
      <c r="I228" s="15" t="s">
        <v>28</v>
      </c>
      <c r="J228" s="14">
        <v>183119.22</v>
      </c>
      <c r="K228" s="15" t="s">
        <v>26</v>
      </c>
      <c r="L228" s="15">
        <v>163037</v>
      </c>
      <c r="M228" s="15" t="str">
        <f>"KDU COLLEGE (PG) SDN"</f>
        <v>KDU COLLEGE (PG) SDN</v>
      </c>
      <c r="O228" s="15">
        <v>1</v>
      </c>
      <c r="P228" s="15" t="str">
        <f>"PGTEFT2805"</f>
        <v>PGTEFT2805</v>
      </c>
      <c r="Q228" s="15" t="str">
        <f>"PCET SUBSIDY"</f>
        <v>PCET SUBSIDY</v>
      </c>
    </row>
    <row r="229" spans="1:17" x14ac:dyDescent="0.25">
      <c r="A229" s="15">
        <v>8003879954</v>
      </c>
      <c r="B229" s="15">
        <v>6</v>
      </c>
      <c r="C229" s="15">
        <v>20122017</v>
      </c>
      <c r="D229" s="15">
        <v>299</v>
      </c>
      <c r="E229" s="15" t="str">
        <f>"GST"</f>
        <v>GST</v>
      </c>
      <c r="F229" s="15">
        <v>9938</v>
      </c>
      <c r="G229" s="15" t="str">
        <f>"24375756"</f>
        <v>24375756</v>
      </c>
      <c r="H229" s="14">
        <v>0.01</v>
      </c>
      <c r="I229" s="15" t="s">
        <v>28</v>
      </c>
      <c r="J229" s="14">
        <v>186119.22</v>
      </c>
      <c r="K229" s="15" t="s">
        <v>26</v>
      </c>
      <c r="L229" s="15">
        <v>163037</v>
      </c>
      <c r="M229" s="15" t="str">
        <f>"PGTEFT2805          PCET SUBSIDY"</f>
        <v>PGTEFT2805          PCET SUBSIDY</v>
      </c>
      <c r="O229" s="15">
        <v>1</v>
      </c>
    </row>
    <row r="230" spans="1:17" x14ac:dyDescent="0.25">
      <c r="A230" s="15">
        <v>8003879954</v>
      </c>
      <c r="B230" s="15">
        <v>5</v>
      </c>
      <c r="C230" s="15">
        <v>20122017</v>
      </c>
      <c r="D230" s="15">
        <v>489</v>
      </c>
      <c r="E230" s="15" t="str">
        <f>"OTHER TRANSFER FEE"</f>
        <v>OTHER TRANSFER FEE</v>
      </c>
      <c r="F230" s="15">
        <v>9938</v>
      </c>
      <c r="G230" s="15" t="str">
        <f>"24375756"</f>
        <v>24375756</v>
      </c>
      <c r="H230" s="14">
        <v>0.1</v>
      </c>
      <c r="I230" s="15" t="s">
        <v>28</v>
      </c>
      <c r="J230" s="14">
        <v>186119.23</v>
      </c>
      <c r="K230" s="15" t="s">
        <v>26</v>
      </c>
      <c r="L230" s="15">
        <v>163037</v>
      </c>
      <c r="M230" s="15" t="str">
        <f>"PGTEFT2805          PCET SUBSIDY"</f>
        <v>PGTEFT2805          PCET SUBSIDY</v>
      </c>
      <c r="O230" s="15">
        <v>1</v>
      </c>
    </row>
    <row r="231" spans="1:17" x14ac:dyDescent="0.25">
      <c r="A231" s="15">
        <v>8003879954</v>
      </c>
      <c r="B231" s="15">
        <v>4</v>
      </c>
      <c r="C231" s="15">
        <v>20122017</v>
      </c>
      <c r="D231" s="15">
        <v>341</v>
      </c>
      <c r="E231" s="15" t="str">
        <f>"TR IBG"</f>
        <v>TR IBG</v>
      </c>
      <c r="F231" s="15">
        <v>9938</v>
      </c>
      <c r="G231" s="15" t="str">
        <f>"24375699"</f>
        <v>24375699</v>
      </c>
      <c r="H231" s="14">
        <v>3364</v>
      </c>
      <c r="I231" s="15" t="s">
        <v>28</v>
      </c>
      <c r="J231" s="14">
        <v>186119.33</v>
      </c>
      <c r="K231" s="15" t="s">
        <v>26</v>
      </c>
      <c r="L231" s="15">
        <v>163037</v>
      </c>
      <c r="M231" s="15" t="str">
        <f>"METRO GREEN ADVENTUR"</f>
        <v>METRO GREEN ADVENTUR</v>
      </c>
      <c r="O231" s="15">
        <v>1</v>
      </c>
      <c r="P231" s="15" t="str">
        <f>"PGTEFT2809"</f>
        <v>PGTEFT2809</v>
      </c>
      <c r="Q231" s="15" t="str">
        <f>"20171031 120171109"</f>
        <v>20171031 120171109</v>
      </c>
    </row>
    <row r="232" spans="1:17" x14ac:dyDescent="0.25">
      <c r="A232" s="15">
        <v>8003879954</v>
      </c>
      <c r="B232" s="15">
        <v>3</v>
      </c>
      <c r="C232" s="15">
        <v>20122017</v>
      </c>
      <c r="D232" s="15">
        <v>299</v>
      </c>
      <c r="E232" s="15" t="str">
        <f>"GST"</f>
        <v>GST</v>
      </c>
      <c r="F232" s="15">
        <v>9938</v>
      </c>
      <c r="G232" s="15" t="str">
        <f>"24375699"</f>
        <v>24375699</v>
      </c>
      <c r="H232" s="14">
        <v>0.01</v>
      </c>
      <c r="I232" s="15" t="s">
        <v>28</v>
      </c>
      <c r="J232" s="14">
        <v>189483.33</v>
      </c>
      <c r="K232" s="15" t="s">
        <v>26</v>
      </c>
      <c r="L232" s="15">
        <v>163037</v>
      </c>
      <c r="M232" s="15" t="str">
        <f>"PGTEFT2809          20171031 120171109"</f>
        <v>PGTEFT2809          20171031 120171109</v>
      </c>
      <c r="O232" s="15">
        <v>1</v>
      </c>
    </row>
    <row r="233" spans="1:17" x14ac:dyDescent="0.25">
      <c r="A233" s="15">
        <v>8003879954</v>
      </c>
      <c r="B233" s="15">
        <v>2</v>
      </c>
      <c r="C233" s="15">
        <v>20122017</v>
      </c>
      <c r="D233" s="15">
        <v>489</v>
      </c>
      <c r="E233" s="15" t="str">
        <f>"OTHER TRANSFER FEE"</f>
        <v>OTHER TRANSFER FEE</v>
      </c>
      <c r="F233" s="15">
        <v>9938</v>
      </c>
      <c r="G233" s="15" t="str">
        <f>"24375699"</f>
        <v>24375699</v>
      </c>
      <c r="H233" s="14">
        <v>0.1</v>
      </c>
      <c r="I233" s="15" t="s">
        <v>28</v>
      </c>
      <c r="J233" s="14">
        <v>189483.34</v>
      </c>
      <c r="K233" s="15" t="s">
        <v>26</v>
      </c>
      <c r="L233" s="15">
        <v>163037</v>
      </c>
      <c r="M233" s="15" t="str">
        <f>"PGTEFT2809          20171031 120171109"</f>
        <v>PGTEFT2809          20171031 120171109</v>
      </c>
      <c r="O233" s="15">
        <v>1</v>
      </c>
    </row>
    <row r="234" spans="1:17" x14ac:dyDescent="0.25">
      <c r="A234" s="15">
        <v>8003879954</v>
      </c>
      <c r="B234" s="15">
        <v>1</v>
      </c>
      <c r="C234" s="15">
        <v>20122017</v>
      </c>
      <c r="D234" s="15">
        <v>60</v>
      </c>
      <c r="E234" s="15" t="str">
        <f>"TR TO C/A"</f>
        <v>TR TO C/A</v>
      </c>
      <c r="F234" s="15">
        <v>9938</v>
      </c>
      <c r="G234" s="15" t="str">
        <f>"24375636"</f>
        <v>24375636</v>
      </c>
      <c r="H234" s="14">
        <v>5300</v>
      </c>
      <c r="I234" s="15" t="s">
        <v>28</v>
      </c>
      <c r="J234" s="14">
        <v>189483.44</v>
      </c>
      <c r="K234" s="15" t="s">
        <v>26</v>
      </c>
      <c r="L234" s="15">
        <v>163037</v>
      </c>
      <c r="M234" s="15" t="str">
        <f>"LED DEC'17 PERFORMANCE PLUS MA"</f>
        <v>LED DEC'17 PERFORMANCE PLUS MA</v>
      </c>
      <c r="O234" s="15">
        <v>1</v>
      </c>
      <c r="P234" s="15" t="str">
        <f>"PGTEFT2811"</f>
        <v>PGTEFT2811</v>
      </c>
      <c r="Q234" s="15" t="str">
        <f>"PPM17-12-02 03"</f>
        <v>PPM17-12-02 03</v>
      </c>
    </row>
    <row r="235" spans="1:17" x14ac:dyDescent="0.25">
      <c r="A235" s="15">
        <v>8003879954</v>
      </c>
      <c r="B235" s="15">
        <v>6</v>
      </c>
      <c r="C235" s="15">
        <v>14122017</v>
      </c>
      <c r="D235" s="15">
        <v>341</v>
      </c>
      <c r="E235" s="15" t="str">
        <f>"TR IBG"</f>
        <v>TR IBG</v>
      </c>
      <c r="F235" s="15">
        <v>9938</v>
      </c>
      <c r="G235" s="15" t="str">
        <f>"24201555"</f>
        <v>24201555</v>
      </c>
      <c r="H235" s="14">
        <v>9662.5</v>
      </c>
      <c r="I235" s="15" t="s">
        <v>28</v>
      </c>
      <c r="J235" s="14">
        <v>194783.44</v>
      </c>
      <c r="K235" s="15" t="s">
        <v>26</v>
      </c>
      <c r="L235" s="15">
        <v>180812</v>
      </c>
      <c r="M235" s="15" t="str">
        <f>"HG LIM ELECTRICAL EN"</f>
        <v>HG LIM ELECTRICAL EN</v>
      </c>
      <c r="O235" s="15">
        <v>1</v>
      </c>
      <c r="P235" s="15" t="str">
        <f>"PGTEFT2800"</f>
        <v>PGTEFT2800</v>
      </c>
      <c r="Q235" s="15" t="str">
        <f>"HG-1153-11-17"</f>
        <v>HG-1153-11-17</v>
      </c>
    </row>
    <row r="236" spans="1:17" x14ac:dyDescent="0.25">
      <c r="A236" s="15">
        <v>8003879954</v>
      </c>
      <c r="B236" s="15">
        <v>5</v>
      </c>
      <c r="C236" s="15">
        <v>14122017</v>
      </c>
      <c r="D236" s="15">
        <v>299</v>
      </c>
      <c r="E236" s="15" t="str">
        <f>"GST"</f>
        <v>GST</v>
      </c>
      <c r="F236" s="15">
        <v>9938</v>
      </c>
      <c r="G236" s="15" t="str">
        <f>"24201555"</f>
        <v>24201555</v>
      </c>
      <c r="H236" s="14">
        <v>0.01</v>
      </c>
      <c r="I236" s="15" t="s">
        <v>28</v>
      </c>
      <c r="J236" s="14">
        <v>204445.94</v>
      </c>
      <c r="K236" s="15" t="s">
        <v>26</v>
      </c>
      <c r="L236" s="15">
        <v>180812</v>
      </c>
      <c r="M236" s="15" t="str">
        <f>"PGTEFT2800          HG-1153-11-17"</f>
        <v>PGTEFT2800          HG-1153-11-17</v>
      </c>
      <c r="O236" s="15">
        <v>1</v>
      </c>
    </row>
    <row r="237" spans="1:17" x14ac:dyDescent="0.25">
      <c r="A237" s="15">
        <v>8003879954</v>
      </c>
      <c r="B237" s="15">
        <v>4</v>
      </c>
      <c r="C237" s="15">
        <v>14122017</v>
      </c>
      <c r="D237" s="15">
        <v>489</v>
      </c>
      <c r="E237" s="15" t="str">
        <f>"OTHER TRANSFER FEE"</f>
        <v>OTHER TRANSFER FEE</v>
      </c>
      <c r="F237" s="15">
        <v>9938</v>
      </c>
      <c r="G237" s="15" t="str">
        <f>"24201555"</f>
        <v>24201555</v>
      </c>
      <c r="H237" s="14">
        <v>0.1</v>
      </c>
      <c r="I237" s="15" t="s">
        <v>28</v>
      </c>
      <c r="J237" s="14">
        <v>204445.95</v>
      </c>
      <c r="K237" s="15" t="s">
        <v>26</v>
      </c>
      <c r="L237" s="15">
        <v>180812</v>
      </c>
      <c r="M237" s="15" t="str">
        <f>"PGTEFT2800          HG-1153-11-17"</f>
        <v>PGTEFT2800          HG-1153-11-17</v>
      </c>
      <c r="O237" s="15">
        <v>1</v>
      </c>
    </row>
    <row r="238" spans="1:17" x14ac:dyDescent="0.25">
      <c r="A238" s="15">
        <v>8003879954</v>
      </c>
      <c r="B238" s="15">
        <v>3</v>
      </c>
      <c r="C238" s="15">
        <v>14122017</v>
      </c>
      <c r="D238" s="15">
        <v>299</v>
      </c>
      <c r="E238" s="15" t="s">
        <v>44</v>
      </c>
      <c r="F238" s="15">
        <v>141</v>
      </c>
      <c r="G238" s="15" t="str">
        <f>"982870004"</f>
        <v>982870004</v>
      </c>
      <c r="H238" s="14">
        <v>1.2</v>
      </c>
      <c r="I238" s="15" t="s">
        <v>28</v>
      </c>
      <c r="J238" s="14">
        <v>204446.05</v>
      </c>
      <c r="K238" s="15" t="s">
        <v>26</v>
      </c>
      <c r="L238" s="15">
        <v>101302</v>
      </c>
      <c r="M238" s="15" t="str">
        <f>"01419141217T5027                       D"</f>
        <v>01419141217T5027                       D</v>
      </c>
      <c r="O238" s="15">
        <v>1</v>
      </c>
    </row>
    <row r="239" spans="1:17" x14ac:dyDescent="0.25">
      <c r="A239" s="15">
        <v>8003879954</v>
      </c>
      <c r="B239" s="15">
        <v>2</v>
      </c>
      <c r="C239" s="15">
        <v>14122017</v>
      </c>
      <c r="D239" s="15">
        <v>415</v>
      </c>
      <c r="E239" s="15" t="str">
        <f>"TELEX/FAX"</f>
        <v>TELEX/FAX</v>
      </c>
      <c r="F239" s="15">
        <v>141</v>
      </c>
      <c r="G239" s="15" t="str">
        <f>"982870004"</f>
        <v>982870004</v>
      </c>
      <c r="H239" s="14">
        <v>20</v>
      </c>
      <c r="I239" s="15" t="s">
        <v>28</v>
      </c>
      <c r="J239" s="14">
        <v>204447.25</v>
      </c>
      <c r="K239" s="15" t="s">
        <v>26</v>
      </c>
      <c r="L239" s="15">
        <v>101302</v>
      </c>
      <c r="M239" s="15" t="str">
        <f>"01419141217T5027                       D"</f>
        <v>01419141217T5027                       D</v>
      </c>
      <c r="O239" s="15">
        <v>1</v>
      </c>
    </row>
    <row r="240" spans="1:17" x14ac:dyDescent="0.25">
      <c r="A240" s="15">
        <v>8003879954</v>
      </c>
      <c r="B240" s="15">
        <v>1</v>
      </c>
      <c r="C240" s="15">
        <v>14122017</v>
      </c>
      <c r="D240" s="15">
        <v>349</v>
      </c>
      <c r="E240" s="15" t="str">
        <f>"TR TO REMITT"</f>
        <v>TR TO REMITT</v>
      </c>
      <c r="F240" s="15">
        <v>141</v>
      </c>
      <c r="G240" s="15" t="str">
        <f>"982870004"</f>
        <v>982870004</v>
      </c>
      <c r="H240" s="14">
        <v>3220.62</v>
      </c>
      <c r="I240" s="15" t="s">
        <v>28</v>
      </c>
      <c r="J240" s="14">
        <v>204467.25</v>
      </c>
      <c r="K240" s="15" t="s">
        <v>26</v>
      </c>
      <c r="L240" s="15">
        <v>101302</v>
      </c>
      <c r="M240" s="15" t="str">
        <f>"01419141217T5027                       D"</f>
        <v>01419141217T5027                       D</v>
      </c>
      <c r="O240" s="15">
        <v>1</v>
      </c>
    </row>
    <row r="241" spans="1:18" x14ac:dyDescent="0.25">
      <c r="A241" s="15">
        <v>8003879954</v>
      </c>
      <c r="B241" s="15">
        <v>9</v>
      </c>
      <c r="C241" s="15">
        <v>12122017</v>
      </c>
      <c r="D241" s="15">
        <v>299</v>
      </c>
      <c r="E241" s="15" t="str">
        <f>"GST"</f>
        <v>GST</v>
      </c>
      <c r="H241" s="14">
        <v>0.03</v>
      </c>
      <c r="I241" s="15" t="s">
        <v>28</v>
      </c>
      <c r="J241" s="14">
        <v>207687.87</v>
      </c>
      <c r="K241" s="15" t="s">
        <v>26</v>
      </c>
      <c r="L241" s="15">
        <v>10402</v>
      </c>
      <c r="M241" s="15" t="str">
        <f>""</f>
        <v/>
      </c>
      <c r="O241" s="15">
        <v>1</v>
      </c>
    </row>
    <row r="242" spans="1:18" x14ac:dyDescent="0.25">
      <c r="A242" s="15">
        <v>8003879954</v>
      </c>
      <c r="B242" s="15">
        <v>8</v>
      </c>
      <c r="C242" s="15">
        <v>12122017</v>
      </c>
      <c r="D242" s="15">
        <v>819</v>
      </c>
      <c r="E242" s="15" t="str">
        <f>"CHQ PROCESSING FEE"</f>
        <v>CHQ PROCESSING FEE</v>
      </c>
      <c r="H242" s="14">
        <v>0.5</v>
      </c>
      <c r="I242" s="15" t="s">
        <v>28</v>
      </c>
      <c r="J242" s="14">
        <v>207687.9</v>
      </c>
      <c r="K242" s="15" t="s">
        <v>26</v>
      </c>
      <c r="L242" s="15">
        <v>10402</v>
      </c>
      <c r="M242" s="15" t="str">
        <f>""</f>
        <v/>
      </c>
      <c r="O242" s="15">
        <v>1</v>
      </c>
    </row>
    <row r="243" spans="1:18" x14ac:dyDescent="0.25">
      <c r="A243" s="15">
        <v>8003879954</v>
      </c>
      <c r="B243" s="15">
        <v>7</v>
      </c>
      <c r="C243" s="15">
        <v>12122017</v>
      </c>
      <c r="D243" s="15">
        <v>299</v>
      </c>
      <c r="E243" s="15" t="str">
        <f>"GST"</f>
        <v>GST</v>
      </c>
      <c r="H243" s="14">
        <v>0.03</v>
      </c>
      <c r="I243" s="15" t="s">
        <v>28</v>
      </c>
      <c r="J243" s="14">
        <v>207688.4</v>
      </c>
      <c r="K243" s="15" t="s">
        <v>26</v>
      </c>
      <c r="L243" s="15">
        <v>10402</v>
      </c>
      <c r="M243" s="15" t="str">
        <f>""</f>
        <v/>
      </c>
      <c r="O243" s="15">
        <v>1</v>
      </c>
    </row>
    <row r="244" spans="1:18" x14ac:dyDescent="0.25">
      <c r="A244" s="15">
        <v>8003879954</v>
      </c>
      <c r="B244" s="15">
        <v>6</v>
      </c>
      <c r="C244" s="15">
        <v>12122017</v>
      </c>
      <c r="D244" s="15">
        <v>819</v>
      </c>
      <c r="E244" s="15" t="str">
        <f>"CHQ PROCESSING FEE"</f>
        <v>CHQ PROCESSING FEE</v>
      </c>
      <c r="H244" s="14">
        <v>0.5</v>
      </c>
      <c r="I244" s="15" t="s">
        <v>28</v>
      </c>
      <c r="J244" s="14">
        <v>207688.43</v>
      </c>
      <c r="K244" s="15" t="s">
        <v>26</v>
      </c>
      <c r="L244" s="15">
        <v>10402</v>
      </c>
      <c r="M244" s="15" t="str">
        <f>""</f>
        <v/>
      </c>
      <c r="O244" s="15">
        <v>1</v>
      </c>
    </row>
    <row r="245" spans="1:18" x14ac:dyDescent="0.25">
      <c r="A245" s="15">
        <v>8003879954</v>
      </c>
      <c r="B245" s="15">
        <v>5</v>
      </c>
      <c r="C245" s="15">
        <v>12122017</v>
      </c>
      <c r="D245" s="15">
        <v>321</v>
      </c>
      <c r="E245" s="15" t="str">
        <f>"HOUSE CHQ DR"</f>
        <v>HOUSE CHQ DR</v>
      </c>
      <c r="F245" s="15">
        <v>0</v>
      </c>
      <c r="G245" s="15" t="str">
        <f>"00688085"</f>
        <v>00688085</v>
      </c>
      <c r="H245" s="14">
        <v>501.7</v>
      </c>
      <c r="I245" s="15" t="s">
        <v>28</v>
      </c>
      <c r="J245" s="14">
        <v>207688.93</v>
      </c>
      <c r="K245" s="15" t="s">
        <v>26</v>
      </c>
      <c r="L245" s="15">
        <v>10220</v>
      </c>
      <c r="M245" s="15" t="str">
        <f>""</f>
        <v/>
      </c>
      <c r="O245" s="15">
        <v>1</v>
      </c>
    </row>
    <row r="246" spans="1:18" x14ac:dyDescent="0.25">
      <c r="A246" s="15">
        <v>8003879954</v>
      </c>
      <c r="B246" s="15">
        <v>4</v>
      </c>
      <c r="C246" s="15">
        <v>12122017</v>
      </c>
      <c r="D246" s="15">
        <v>323</v>
      </c>
      <c r="E246" s="15" t="str">
        <f>"CLRG CHQ DR"</f>
        <v>CLRG CHQ DR</v>
      </c>
      <c r="F246" s="15">
        <v>0</v>
      </c>
      <c r="G246" s="15" t="str">
        <f>"00688084"</f>
        <v>00688084</v>
      </c>
      <c r="H246" s="14">
        <v>170</v>
      </c>
      <c r="I246" s="15" t="s">
        <v>28</v>
      </c>
      <c r="J246" s="14">
        <v>208190.63</v>
      </c>
      <c r="K246" s="15" t="s">
        <v>26</v>
      </c>
      <c r="L246" s="15">
        <v>10220</v>
      </c>
      <c r="M246" s="15" t="str">
        <f>""</f>
        <v/>
      </c>
      <c r="O246" s="15">
        <v>1</v>
      </c>
    </row>
    <row r="247" spans="1:18" x14ac:dyDescent="0.25">
      <c r="A247" s="15">
        <v>8003879954</v>
      </c>
      <c r="B247" s="15">
        <v>3</v>
      </c>
      <c r="C247" s="15">
        <v>12122017</v>
      </c>
      <c r="D247" s="15">
        <v>299</v>
      </c>
      <c r="E247" s="15" t="s">
        <v>44</v>
      </c>
      <c r="F247" s="15">
        <v>72</v>
      </c>
      <c r="G247" s="15" t="str">
        <f>"282863190"</f>
        <v>282863190</v>
      </c>
      <c r="H247" s="14">
        <v>1.8</v>
      </c>
      <c r="I247" s="15" t="s">
        <v>28</v>
      </c>
      <c r="J247" s="14">
        <v>208360.63</v>
      </c>
      <c r="K247" s="15" t="s">
        <v>26</v>
      </c>
      <c r="L247" s="15">
        <v>171948</v>
      </c>
      <c r="M247" s="15" t="str">
        <f>"00722121217T5411                       H"</f>
        <v>00722121217T5411                       H</v>
      </c>
      <c r="O247" s="15">
        <v>1</v>
      </c>
    </row>
    <row r="248" spans="1:18" x14ac:dyDescent="0.25">
      <c r="A248" s="15">
        <v>8003879954</v>
      </c>
      <c r="B248" s="15">
        <v>2</v>
      </c>
      <c r="C248" s="15">
        <v>12122017</v>
      </c>
      <c r="D248" s="15">
        <v>415</v>
      </c>
      <c r="E248" s="15" t="str">
        <f>"TELEX/FAX"</f>
        <v>TELEX/FAX</v>
      </c>
      <c r="F248" s="15">
        <v>72</v>
      </c>
      <c r="G248" s="15" t="str">
        <f>"282863190"</f>
        <v>282863190</v>
      </c>
      <c r="H248" s="14">
        <v>30</v>
      </c>
      <c r="I248" s="15" t="s">
        <v>28</v>
      </c>
      <c r="J248" s="14">
        <v>208362.43</v>
      </c>
      <c r="K248" s="15" t="s">
        <v>26</v>
      </c>
      <c r="L248" s="15">
        <v>171948</v>
      </c>
      <c r="M248" s="15" t="str">
        <f>"00722121217T5411                       H"</f>
        <v>00722121217T5411                       H</v>
      </c>
      <c r="O248" s="15">
        <v>1</v>
      </c>
    </row>
    <row r="249" spans="1:18" x14ac:dyDescent="0.25">
      <c r="A249" s="15">
        <v>8003879954</v>
      </c>
      <c r="B249" s="15">
        <v>1</v>
      </c>
      <c r="C249" s="15">
        <v>12122017</v>
      </c>
      <c r="D249" s="15">
        <v>349</v>
      </c>
      <c r="E249" s="15" t="str">
        <f>"TR TO REMITT"</f>
        <v>TR TO REMITT</v>
      </c>
      <c r="F249" s="15">
        <v>72</v>
      </c>
      <c r="G249" s="15" t="str">
        <f>"282863190"</f>
        <v>282863190</v>
      </c>
      <c r="H249" s="14">
        <v>84691.25</v>
      </c>
      <c r="I249" s="15" t="s">
        <v>28</v>
      </c>
      <c r="J249" s="14">
        <v>208392.43</v>
      </c>
      <c r="K249" s="15" t="s">
        <v>26</v>
      </c>
      <c r="L249" s="15">
        <v>171948</v>
      </c>
      <c r="M249" s="15" t="str">
        <f>"00722121217T5411                       H"</f>
        <v>00722121217T5411                       H</v>
      </c>
      <c r="O249" s="15">
        <v>1</v>
      </c>
    </row>
    <row r="250" spans="1:18" x14ac:dyDescent="0.25">
      <c r="A250" s="15">
        <v>8003879954</v>
      </c>
      <c r="B250" s="15">
        <v>1</v>
      </c>
      <c r="C250" s="15">
        <v>11122017</v>
      </c>
      <c r="D250" s="15">
        <v>5</v>
      </c>
      <c r="E250" s="15" t="str">
        <f>"REMITTANCE CR"</f>
        <v>REMITTANCE CR</v>
      </c>
      <c r="H250" s="14">
        <v>200000</v>
      </c>
      <c r="I250" s="15" t="s">
        <v>26</v>
      </c>
      <c r="J250" s="14">
        <v>293083.68</v>
      </c>
      <c r="K250" s="15" t="s">
        <v>26</v>
      </c>
      <c r="L250" s="15">
        <v>172329</v>
      </c>
      <c r="M250" s="15" t="str">
        <f>"/ROC/KLMP0025567RES RHB ASSET MANAGEMENT"</f>
        <v>/ROC/KLMP0025567RES RHB ASSET MANAGEMENT</v>
      </c>
      <c r="O250" s="15">
        <v>1</v>
      </c>
      <c r="P250" s="15" t="str">
        <f>"KLMP0025567"</f>
        <v>KLMP0025567</v>
      </c>
      <c r="Q250" s="15" t="str">
        <f>"RESIDENT"</f>
        <v>RESIDENT</v>
      </c>
      <c r="R250" s="15" t="str">
        <f>"RHB ASSET MANAGEMENT"</f>
        <v>RHB ASSET MANAGEMENT</v>
      </c>
    </row>
    <row r="251" spans="1:18" x14ac:dyDescent="0.25">
      <c r="A251" s="15">
        <v>8003879954</v>
      </c>
      <c r="B251" s="15">
        <v>11</v>
      </c>
      <c r="C251" s="15">
        <v>8122017</v>
      </c>
      <c r="D251" s="15">
        <v>299</v>
      </c>
      <c r="E251" s="15" t="str">
        <f>"GST"</f>
        <v>GST</v>
      </c>
      <c r="H251" s="14">
        <v>0.03</v>
      </c>
      <c r="I251" s="15" t="s">
        <v>28</v>
      </c>
      <c r="J251" s="14">
        <v>93083.68</v>
      </c>
      <c r="K251" s="15" t="s">
        <v>26</v>
      </c>
      <c r="L251" s="15">
        <v>5611</v>
      </c>
      <c r="M251" s="15" t="str">
        <f>""</f>
        <v/>
      </c>
      <c r="O251" s="15">
        <v>1</v>
      </c>
    </row>
    <row r="252" spans="1:18" x14ac:dyDescent="0.25">
      <c r="A252" s="15">
        <v>8003879954</v>
      </c>
      <c r="B252" s="15">
        <v>10</v>
      </c>
      <c r="C252" s="15">
        <v>8122017</v>
      </c>
      <c r="D252" s="15">
        <v>819</v>
      </c>
      <c r="E252" s="15" t="str">
        <f>"CHQ PROCESSING FEE"</f>
        <v>CHQ PROCESSING FEE</v>
      </c>
      <c r="H252" s="14">
        <v>0.5</v>
      </c>
      <c r="I252" s="15" t="s">
        <v>28</v>
      </c>
      <c r="J252" s="14">
        <v>93083.71</v>
      </c>
      <c r="K252" s="15" t="s">
        <v>26</v>
      </c>
      <c r="L252" s="15">
        <v>5611</v>
      </c>
      <c r="M252" s="15" t="str">
        <f>""</f>
        <v/>
      </c>
      <c r="O252" s="15">
        <v>1</v>
      </c>
    </row>
    <row r="253" spans="1:18" x14ac:dyDescent="0.25">
      <c r="A253" s="15">
        <v>8003879954</v>
      </c>
      <c r="B253" s="15">
        <v>9</v>
      </c>
      <c r="C253" s="15">
        <v>8122017</v>
      </c>
      <c r="D253" s="15">
        <v>323</v>
      </c>
      <c r="E253" s="15" t="str">
        <f>"CLRG CHQ DR"</f>
        <v>CLRG CHQ DR</v>
      </c>
      <c r="F253" s="15">
        <v>0</v>
      </c>
      <c r="G253" s="15" t="str">
        <f>"00688083"</f>
        <v>00688083</v>
      </c>
      <c r="H253" s="14">
        <v>10667.84</v>
      </c>
      <c r="I253" s="15" t="s">
        <v>28</v>
      </c>
      <c r="J253" s="14">
        <v>93084.21</v>
      </c>
      <c r="K253" s="15" t="s">
        <v>26</v>
      </c>
      <c r="L253" s="15">
        <v>5424</v>
      </c>
      <c r="M253" s="15" t="str">
        <f>""</f>
        <v/>
      </c>
      <c r="O253" s="15">
        <v>1</v>
      </c>
    </row>
    <row r="254" spans="1:18" x14ac:dyDescent="0.25">
      <c r="A254" s="15">
        <v>8003879954</v>
      </c>
      <c r="B254" s="15">
        <v>8</v>
      </c>
      <c r="C254" s="15">
        <v>8122017</v>
      </c>
      <c r="D254" s="15">
        <v>341</v>
      </c>
      <c r="E254" s="15" t="str">
        <f>"TR IBG"</f>
        <v>TR IBG</v>
      </c>
      <c r="F254" s="15">
        <v>9938</v>
      </c>
      <c r="G254" s="15" t="str">
        <f>"23952160"</f>
        <v>23952160</v>
      </c>
      <c r="H254" s="14">
        <v>5000</v>
      </c>
      <c r="I254" s="15" t="s">
        <v>28</v>
      </c>
      <c r="J254" s="14">
        <v>103752.05</v>
      </c>
      <c r="K254" s="15" t="s">
        <v>26</v>
      </c>
      <c r="L254" s="15">
        <v>170413</v>
      </c>
      <c r="M254" s="15" t="str">
        <f>"RICKVEEN SINGH A/L H"</f>
        <v>RICKVEEN SINGH A/L H</v>
      </c>
      <c r="O254" s="15">
        <v>1</v>
      </c>
      <c r="P254" s="15" t="str">
        <f>"PGTEFT2789"</f>
        <v>PGTEFT2789</v>
      </c>
      <c r="Q254" s="15" t="str">
        <f>"WELCOMING RECEPTION"</f>
        <v>WELCOMING RECEPTION</v>
      </c>
    </row>
    <row r="255" spans="1:18" x14ac:dyDescent="0.25">
      <c r="A255" s="15">
        <v>8003879954</v>
      </c>
      <c r="B255" s="15">
        <v>7</v>
      </c>
      <c r="C255" s="15">
        <v>8122017</v>
      </c>
      <c r="D255" s="15">
        <v>299</v>
      </c>
      <c r="E255" s="15" t="str">
        <f>"GST"</f>
        <v>GST</v>
      </c>
      <c r="F255" s="15">
        <v>9938</v>
      </c>
      <c r="G255" s="15" t="str">
        <f>"23952160"</f>
        <v>23952160</v>
      </c>
      <c r="H255" s="14">
        <v>0.01</v>
      </c>
      <c r="I255" s="15" t="s">
        <v>28</v>
      </c>
      <c r="J255" s="14">
        <v>108752.05</v>
      </c>
      <c r="K255" s="15" t="s">
        <v>26</v>
      </c>
      <c r="L255" s="15">
        <v>170413</v>
      </c>
      <c r="M255" s="15" t="str">
        <f>"PGTEFT2789          WELCOMING RECEPTION"</f>
        <v>PGTEFT2789          WELCOMING RECEPTION</v>
      </c>
      <c r="O255" s="15">
        <v>1</v>
      </c>
    </row>
    <row r="256" spans="1:18" x14ac:dyDescent="0.25">
      <c r="A256" s="15">
        <v>8003879954</v>
      </c>
      <c r="B256" s="15">
        <v>6</v>
      </c>
      <c r="C256" s="15">
        <v>8122017</v>
      </c>
      <c r="D256" s="15">
        <v>489</v>
      </c>
      <c r="E256" s="15" t="str">
        <f>"OTHER TRANSFER FEE"</f>
        <v>OTHER TRANSFER FEE</v>
      </c>
      <c r="F256" s="15">
        <v>9938</v>
      </c>
      <c r="G256" s="15" t="str">
        <f>"23952160"</f>
        <v>23952160</v>
      </c>
      <c r="H256" s="14">
        <v>0.1</v>
      </c>
      <c r="I256" s="15" t="s">
        <v>28</v>
      </c>
      <c r="J256" s="14">
        <v>108752.06</v>
      </c>
      <c r="K256" s="15" t="s">
        <v>26</v>
      </c>
      <c r="L256" s="15">
        <v>170413</v>
      </c>
      <c r="M256" s="15" t="str">
        <f>"PGTEFT2789          WELCOMING RECEPTION"</f>
        <v>PGTEFT2789          WELCOMING RECEPTION</v>
      </c>
      <c r="O256" s="15">
        <v>1</v>
      </c>
    </row>
    <row r="257" spans="1:18" x14ac:dyDescent="0.25">
      <c r="A257" s="15">
        <v>8003879954</v>
      </c>
      <c r="B257" s="15">
        <v>5</v>
      </c>
      <c r="C257" s="15">
        <v>8122017</v>
      </c>
      <c r="D257" s="15">
        <v>60</v>
      </c>
      <c r="E257" s="15" t="str">
        <f>"TR TO C/A"</f>
        <v>TR TO C/A</v>
      </c>
      <c r="F257" s="15">
        <v>9938</v>
      </c>
      <c r="G257" s="15" t="str">
        <f>"23987877"</f>
        <v>23987877</v>
      </c>
      <c r="H257" s="14">
        <v>5460.2</v>
      </c>
      <c r="I257" s="15" t="s">
        <v>28</v>
      </c>
      <c r="J257" s="14">
        <v>108752.16</v>
      </c>
      <c r="K257" s="15" t="s">
        <v>26</v>
      </c>
      <c r="L257" s="15">
        <v>170412</v>
      </c>
      <c r="M257" s="15" t="str">
        <f>"PCET PIEF MARY ANN HARRIS"</f>
        <v>PCET PIEF MARY ANN HARRIS</v>
      </c>
      <c r="O257" s="15">
        <v>1</v>
      </c>
      <c r="P257" s="15" t="str">
        <f>"PGTEFT2787"</f>
        <v>PGTEFT2787</v>
      </c>
      <c r="Q257" s="15" t="str">
        <f>"CLAIMS"</f>
        <v>CLAIMS</v>
      </c>
    </row>
    <row r="258" spans="1:18" x14ac:dyDescent="0.25">
      <c r="A258" s="15">
        <v>8003879954</v>
      </c>
      <c r="B258" s="15">
        <v>4</v>
      </c>
      <c r="C258" s="15">
        <v>8122017</v>
      </c>
      <c r="D258" s="15">
        <v>341</v>
      </c>
      <c r="E258" s="15" t="str">
        <f>"TR IBG"</f>
        <v>TR IBG</v>
      </c>
      <c r="F258" s="15">
        <v>9938</v>
      </c>
      <c r="G258" s="15" t="str">
        <f>"23952299"</f>
        <v>23952299</v>
      </c>
      <c r="H258" s="14">
        <v>4000</v>
      </c>
      <c r="I258" s="15" t="s">
        <v>28</v>
      </c>
      <c r="J258" s="14">
        <v>114212.36</v>
      </c>
      <c r="K258" s="15" t="s">
        <v>26</v>
      </c>
      <c r="L258" s="15">
        <v>170411</v>
      </c>
      <c r="M258" s="15" t="str">
        <f>"NORIZEIGHT VENTURES"</f>
        <v>NORIZEIGHT VENTURES</v>
      </c>
      <c r="O258" s="15">
        <v>1</v>
      </c>
      <c r="P258" s="15" t="str">
        <f>"PGTEFT2788"</f>
        <v>PGTEFT2788</v>
      </c>
      <c r="Q258" s="15" t="str">
        <f>"NV2288"</f>
        <v>NV2288</v>
      </c>
    </row>
    <row r="259" spans="1:18" x14ac:dyDescent="0.25">
      <c r="A259" s="15">
        <v>8003879954</v>
      </c>
      <c r="B259" s="15">
        <v>3</v>
      </c>
      <c r="C259" s="15">
        <v>8122017</v>
      </c>
      <c r="D259" s="15">
        <v>299</v>
      </c>
      <c r="E259" s="15" t="str">
        <f>"GST"</f>
        <v>GST</v>
      </c>
      <c r="F259" s="15">
        <v>9938</v>
      </c>
      <c r="G259" s="15" t="str">
        <f>"23952299"</f>
        <v>23952299</v>
      </c>
      <c r="H259" s="14">
        <v>0.01</v>
      </c>
      <c r="I259" s="15" t="s">
        <v>28</v>
      </c>
      <c r="J259" s="14">
        <v>118212.36</v>
      </c>
      <c r="K259" s="15" t="s">
        <v>26</v>
      </c>
      <c r="L259" s="15">
        <v>170411</v>
      </c>
      <c r="M259" s="15" t="str">
        <f>"PGTEFT2788          NV2288"</f>
        <v>PGTEFT2788          NV2288</v>
      </c>
      <c r="O259" s="15">
        <v>1</v>
      </c>
    </row>
    <row r="260" spans="1:18" x14ac:dyDescent="0.25">
      <c r="A260" s="15">
        <v>8003879954</v>
      </c>
      <c r="B260" s="15">
        <v>2</v>
      </c>
      <c r="C260" s="15">
        <v>8122017</v>
      </c>
      <c r="D260" s="15">
        <v>489</v>
      </c>
      <c r="E260" s="15" t="str">
        <f>"OTHER TRANSFER FEE"</f>
        <v>OTHER TRANSFER FEE</v>
      </c>
      <c r="F260" s="15">
        <v>9938</v>
      </c>
      <c r="G260" s="15" t="str">
        <f>"23952299"</f>
        <v>23952299</v>
      </c>
      <c r="H260" s="14">
        <v>0.1</v>
      </c>
      <c r="I260" s="15" t="s">
        <v>28</v>
      </c>
      <c r="J260" s="14">
        <v>118212.37</v>
      </c>
      <c r="K260" s="15" t="s">
        <v>26</v>
      </c>
      <c r="L260" s="15">
        <v>170411</v>
      </c>
      <c r="M260" s="15" t="str">
        <f>"PGTEFT2788          NV2288"</f>
        <v>PGTEFT2788          NV2288</v>
      </c>
      <c r="O260" s="15">
        <v>1</v>
      </c>
    </row>
    <row r="261" spans="1:18" x14ac:dyDescent="0.25">
      <c r="A261" s="15">
        <v>8003879954</v>
      </c>
      <c r="B261" s="15">
        <v>1</v>
      </c>
      <c r="C261" s="15">
        <v>8122017</v>
      </c>
      <c r="D261" s="15">
        <v>345</v>
      </c>
      <c r="E261" s="15" t="str">
        <f>"TR TO SAVINGS"</f>
        <v>TR TO SAVINGS</v>
      </c>
      <c r="F261" s="15">
        <v>9938</v>
      </c>
      <c r="G261" s="15" t="str">
        <f>"23988142"</f>
        <v>23988142</v>
      </c>
      <c r="H261" s="14">
        <v>2160</v>
      </c>
      <c r="I261" s="15" t="s">
        <v>28</v>
      </c>
      <c r="J261" s="14">
        <v>118212.47</v>
      </c>
      <c r="K261" s="15" t="s">
        <v>26</v>
      </c>
      <c r="L261" s="15">
        <v>170411</v>
      </c>
      <c r="M261" s="15" t="str">
        <f>"ALLOWANCE FOR RELA AZFALYZA BINTI ABDU"</f>
        <v>ALLOWANCE FOR RELA AZFALYZA BINTI ABDU</v>
      </c>
      <c r="O261" s="15">
        <v>1</v>
      </c>
      <c r="P261" s="15" t="str">
        <f>"PGTEFT2790"</f>
        <v>PGTEFT2790</v>
      </c>
      <c r="Q261" s="15" t="str">
        <f>"ADVANCE"</f>
        <v>ADVANCE</v>
      </c>
    </row>
    <row r="262" spans="1:18" x14ac:dyDescent="0.25">
      <c r="A262" s="15">
        <v>8003879954</v>
      </c>
      <c r="B262" s="15">
        <v>13</v>
      </c>
      <c r="C262" s="15">
        <v>7122017</v>
      </c>
      <c r="D262" s="15">
        <v>299</v>
      </c>
      <c r="E262" s="15" t="str">
        <f>"GST"</f>
        <v>GST</v>
      </c>
      <c r="H262" s="14">
        <v>0.03</v>
      </c>
      <c r="I262" s="15" t="s">
        <v>28</v>
      </c>
      <c r="J262" s="14">
        <v>120372.47</v>
      </c>
      <c r="K262" s="15" t="s">
        <v>26</v>
      </c>
      <c r="L262" s="15">
        <v>5911</v>
      </c>
      <c r="M262" s="15" t="str">
        <f>""</f>
        <v/>
      </c>
      <c r="O262" s="15">
        <v>1</v>
      </c>
    </row>
    <row r="263" spans="1:18" x14ac:dyDescent="0.25">
      <c r="A263" s="15">
        <v>8003879954</v>
      </c>
      <c r="B263" s="15">
        <v>12</v>
      </c>
      <c r="C263" s="15">
        <v>7122017</v>
      </c>
      <c r="D263" s="15">
        <v>819</v>
      </c>
      <c r="E263" s="15" t="str">
        <f>"CHQ PROCESSING FEE"</f>
        <v>CHQ PROCESSING FEE</v>
      </c>
      <c r="H263" s="14">
        <v>0.5</v>
      </c>
      <c r="I263" s="15" t="s">
        <v>28</v>
      </c>
      <c r="J263" s="14">
        <v>120372.5</v>
      </c>
      <c r="K263" s="15" t="s">
        <v>26</v>
      </c>
      <c r="L263" s="15">
        <v>5911</v>
      </c>
      <c r="M263" s="15" t="str">
        <f>""</f>
        <v/>
      </c>
      <c r="O263" s="15">
        <v>1</v>
      </c>
    </row>
    <row r="264" spans="1:18" x14ac:dyDescent="0.25">
      <c r="A264" s="15">
        <v>8003879954</v>
      </c>
      <c r="B264" s="15">
        <v>11</v>
      </c>
      <c r="C264" s="15">
        <v>7122017</v>
      </c>
      <c r="D264" s="15">
        <v>299</v>
      </c>
      <c r="E264" s="15" t="str">
        <f>"GST"</f>
        <v>GST</v>
      </c>
      <c r="H264" s="14">
        <v>0.09</v>
      </c>
      <c r="I264" s="15" t="s">
        <v>28</v>
      </c>
      <c r="J264" s="14">
        <v>120373</v>
      </c>
      <c r="K264" s="15" t="s">
        <v>26</v>
      </c>
      <c r="L264" s="15">
        <v>5911</v>
      </c>
      <c r="M264" s="15" t="str">
        <f>""</f>
        <v/>
      </c>
      <c r="O264" s="15">
        <v>1</v>
      </c>
    </row>
    <row r="265" spans="1:18" x14ac:dyDescent="0.25">
      <c r="A265" s="15">
        <v>8003879954</v>
      </c>
      <c r="B265" s="15">
        <v>10</v>
      </c>
      <c r="C265" s="15">
        <v>7122017</v>
      </c>
      <c r="D265" s="15">
        <v>819</v>
      </c>
      <c r="E265" s="15" t="str">
        <f>"CHQ PROCESSING FEE"</f>
        <v>CHQ PROCESSING FEE</v>
      </c>
      <c r="H265" s="14">
        <v>1.5</v>
      </c>
      <c r="I265" s="15" t="s">
        <v>28</v>
      </c>
      <c r="J265" s="14">
        <v>120373.09</v>
      </c>
      <c r="K265" s="15" t="s">
        <v>26</v>
      </c>
      <c r="L265" s="15">
        <v>5911</v>
      </c>
      <c r="M265" s="15" t="str">
        <f>""</f>
        <v/>
      </c>
      <c r="O265" s="15">
        <v>1</v>
      </c>
    </row>
    <row r="266" spans="1:18" x14ac:dyDescent="0.25">
      <c r="A266" s="15">
        <v>8003879954</v>
      </c>
      <c r="B266" s="15">
        <v>9</v>
      </c>
      <c r="C266" s="15">
        <v>7122017</v>
      </c>
      <c r="D266" s="15">
        <v>323</v>
      </c>
      <c r="E266" s="15" t="str">
        <f>"CLRG CHQ DR"</f>
        <v>CLRG CHQ DR</v>
      </c>
      <c r="F266" s="15">
        <v>0</v>
      </c>
      <c r="G266" s="15" t="str">
        <f>"00688081"</f>
        <v>00688081</v>
      </c>
      <c r="H266" s="14">
        <v>26001.8</v>
      </c>
      <c r="I266" s="15" t="s">
        <v>28</v>
      </c>
      <c r="J266" s="14">
        <v>120374.59</v>
      </c>
      <c r="K266" s="15" t="s">
        <v>26</v>
      </c>
      <c r="L266" s="15">
        <v>5751</v>
      </c>
      <c r="M266" s="15" t="str">
        <f>""</f>
        <v/>
      </c>
      <c r="O266" s="15">
        <v>1</v>
      </c>
    </row>
    <row r="267" spans="1:18" x14ac:dyDescent="0.25">
      <c r="A267" s="15">
        <v>8003879954</v>
      </c>
      <c r="B267" s="15">
        <v>8</v>
      </c>
      <c r="C267" s="15">
        <v>7122017</v>
      </c>
      <c r="D267" s="15">
        <v>323</v>
      </c>
      <c r="E267" s="15" t="str">
        <f>"CLRG CHQ DR"</f>
        <v>CLRG CHQ DR</v>
      </c>
      <c r="F267" s="15">
        <v>0</v>
      </c>
      <c r="G267" s="15" t="str">
        <f>"00688080"</f>
        <v>00688080</v>
      </c>
      <c r="H267" s="14">
        <v>58677.73</v>
      </c>
      <c r="I267" s="15" t="s">
        <v>28</v>
      </c>
      <c r="J267" s="14">
        <v>146376.39000000001</v>
      </c>
      <c r="K267" s="15" t="s">
        <v>26</v>
      </c>
      <c r="L267" s="15">
        <v>5751</v>
      </c>
      <c r="M267" s="15" t="str">
        <f>""</f>
        <v/>
      </c>
      <c r="O267" s="15">
        <v>1</v>
      </c>
    </row>
    <row r="268" spans="1:18" x14ac:dyDescent="0.25">
      <c r="A268" s="15">
        <v>8003879954</v>
      </c>
      <c r="B268" s="15">
        <v>7</v>
      </c>
      <c r="C268" s="15">
        <v>7122017</v>
      </c>
      <c r="D268" s="15">
        <v>323</v>
      </c>
      <c r="E268" s="15" t="str">
        <f>"CLRG CHQ DR"</f>
        <v>CLRG CHQ DR</v>
      </c>
      <c r="F268" s="15">
        <v>0</v>
      </c>
      <c r="G268" s="15" t="str">
        <f>"00688079"</f>
        <v>00688079</v>
      </c>
      <c r="H268" s="14">
        <v>150000</v>
      </c>
      <c r="I268" s="15" t="s">
        <v>28</v>
      </c>
      <c r="J268" s="14">
        <v>205054.12</v>
      </c>
      <c r="K268" s="15" t="s">
        <v>26</v>
      </c>
      <c r="L268" s="15">
        <v>5751</v>
      </c>
      <c r="M268" s="15" t="str">
        <f>""</f>
        <v/>
      </c>
      <c r="O268" s="15">
        <v>1</v>
      </c>
    </row>
    <row r="269" spans="1:18" x14ac:dyDescent="0.25">
      <c r="A269" s="15">
        <v>8003879954</v>
      </c>
      <c r="B269" s="15">
        <v>6</v>
      </c>
      <c r="C269" s="15">
        <v>7122017</v>
      </c>
      <c r="D269" s="15">
        <v>321</v>
      </c>
      <c r="E269" s="15" t="str">
        <f>"HOUSE CHQ DR"</f>
        <v>HOUSE CHQ DR</v>
      </c>
      <c r="F269" s="15">
        <v>0</v>
      </c>
      <c r="G269" s="15" t="str">
        <f>"00688078"</f>
        <v>00688078</v>
      </c>
      <c r="H269" s="14">
        <v>10600</v>
      </c>
      <c r="I269" s="15" t="s">
        <v>28</v>
      </c>
      <c r="J269" s="14">
        <v>355054.12</v>
      </c>
      <c r="K269" s="15" t="s">
        <v>26</v>
      </c>
      <c r="L269" s="15">
        <v>5751</v>
      </c>
      <c r="M269" s="15" t="str">
        <f>""</f>
        <v/>
      </c>
      <c r="O269" s="15">
        <v>1</v>
      </c>
    </row>
    <row r="270" spans="1:18" x14ac:dyDescent="0.25">
      <c r="A270" s="15">
        <v>8003879954</v>
      </c>
      <c r="B270" s="15">
        <v>5</v>
      </c>
      <c r="C270" s="15">
        <v>7122017</v>
      </c>
      <c r="D270" s="15">
        <v>102</v>
      </c>
      <c r="E270" s="15" t="str">
        <f>"CDM CASH DEPOSIT"</f>
        <v>CDM CASH DEPOSIT</v>
      </c>
      <c r="F270" s="15">
        <v>9815</v>
      </c>
      <c r="G270" s="15" t="str">
        <f>"D5993187"</f>
        <v>D5993187</v>
      </c>
      <c r="H270" s="14">
        <v>1400</v>
      </c>
      <c r="I270" s="15" t="s">
        <v>26</v>
      </c>
      <c r="J270" s="14">
        <v>365654.12</v>
      </c>
      <c r="K270" s="15" t="s">
        <v>26</v>
      </c>
      <c r="L270" s="15">
        <v>152205</v>
      </c>
      <c r="M270" s="15" t="str">
        <f>""</f>
        <v/>
      </c>
      <c r="O270" s="15">
        <v>1</v>
      </c>
    </row>
    <row r="271" spans="1:18" x14ac:dyDescent="0.25">
      <c r="A271" s="15">
        <v>8003879954</v>
      </c>
      <c r="B271" s="15">
        <v>4</v>
      </c>
      <c r="C271" s="15">
        <v>7122017</v>
      </c>
      <c r="D271" s="15">
        <v>141</v>
      </c>
      <c r="E271" s="15" t="str">
        <f>"I-FUNDS TR FROM SA"</f>
        <v>I-FUNDS TR FROM SA</v>
      </c>
      <c r="F271" s="15">
        <v>6127</v>
      </c>
      <c r="G271" s="15" t="str">
        <f>"54170"</f>
        <v>54170</v>
      </c>
      <c r="H271" s="14">
        <v>91.52</v>
      </c>
      <c r="I271" s="15" t="s">
        <v>26</v>
      </c>
      <c r="J271" s="14">
        <v>364254.12</v>
      </c>
      <c r="K271" s="15" t="s">
        <v>26</v>
      </c>
      <c r="L271" s="15">
        <v>143224</v>
      </c>
      <c r="M271" s="15" t="str">
        <f>""</f>
        <v/>
      </c>
      <c r="O271" s="15">
        <v>1</v>
      </c>
      <c r="P271" s="15" t="str">
        <f>"Advance Cash Return"</f>
        <v>Advance Cash Return</v>
      </c>
      <c r="Q271" s="15" t="str">
        <f>"Taipei Expenses"</f>
        <v>Taipei Expenses</v>
      </c>
      <c r="R271" s="15" t="str">
        <f>"JOANNE KHOO ROU YAN"</f>
        <v>JOANNE KHOO ROU YAN</v>
      </c>
    </row>
    <row r="272" spans="1:18" x14ac:dyDescent="0.25">
      <c r="A272" s="15">
        <v>8003879954</v>
      </c>
      <c r="B272" s="15">
        <v>3</v>
      </c>
      <c r="C272" s="15">
        <v>7122017</v>
      </c>
      <c r="D272" s="15">
        <v>540</v>
      </c>
      <c r="E272" s="15" t="str">
        <f>"ATM OPEN TRANSFER FROM SA"</f>
        <v>ATM OPEN TRANSFER FROM SA</v>
      </c>
      <c r="F272" s="15">
        <v>1408</v>
      </c>
      <c r="G272" s="15" t="str">
        <f>"FT563844"</f>
        <v>FT563844</v>
      </c>
      <c r="H272" s="14">
        <v>1367</v>
      </c>
      <c r="I272" s="15" t="s">
        <v>26</v>
      </c>
      <c r="J272" s="14">
        <v>364162.6</v>
      </c>
      <c r="K272" s="15" t="s">
        <v>26</v>
      </c>
      <c r="L272" s="15">
        <v>142002</v>
      </c>
      <c r="M272" s="15" t="str">
        <f>""</f>
        <v/>
      </c>
      <c r="O272" s="15">
        <v>1</v>
      </c>
    </row>
    <row r="273" spans="1:18" x14ac:dyDescent="0.25">
      <c r="A273" s="15">
        <v>8003879954</v>
      </c>
      <c r="B273" s="15">
        <v>2</v>
      </c>
      <c r="C273" s="15">
        <v>7122017</v>
      </c>
      <c r="D273" s="15">
        <v>540</v>
      </c>
      <c r="E273" s="15" t="str">
        <f>"ATM OPEN TRANSFER FROM SA"</f>
        <v>ATM OPEN TRANSFER FROM SA</v>
      </c>
      <c r="F273" s="15">
        <v>1408</v>
      </c>
      <c r="G273" s="15" t="str">
        <f>"FCEY1463"</f>
        <v>FCEY1463</v>
      </c>
      <c r="H273" s="14">
        <v>1366.66</v>
      </c>
      <c r="I273" s="15" t="s">
        <v>26</v>
      </c>
      <c r="J273" s="14">
        <v>362795.6</v>
      </c>
      <c r="K273" s="15" t="s">
        <v>26</v>
      </c>
      <c r="L273" s="15">
        <v>95348</v>
      </c>
      <c r="M273" s="15" t="str">
        <f>""</f>
        <v/>
      </c>
      <c r="O273" s="15">
        <v>1</v>
      </c>
    </row>
    <row r="274" spans="1:18" x14ac:dyDescent="0.25">
      <c r="A274" s="15">
        <v>8003879954</v>
      </c>
      <c r="B274" s="15">
        <v>1</v>
      </c>
      <c r="C274" s="15">
        <v>7122017</v>
      </c>
      <c r="D274" s="15">
        <v>141</v>
      </c>
      <c r="E274" s="15" t="str">
        <f>"I-FUNDS TR FROM SA"</f>
        <v>I-FUNDS TR FROM SA</v>
      </c>
      <c r="F274" s="15">
        <v>6127</v>
      </c>
      <c r="G274" s="15" t="str">
        <f>"23313"</f>
        <v>23313</v>
      </c>
      <c r="H274" s="14">
        <v>1366.66</v>
      </c>
      <c r="I274" s="15" t="s">
        <v>26</v>
      </c>
      <c r="J274" s="14">
        <v>361428.94</v>
      </c>
      <c r="K274" s="15" t="s">
        <v>26</v>
      </c>
      <c r="L274" s="15">
        <v>94308</v>
      </c>
      <c r="M274" s="15" t="str">
        <f>""</f>
        <v/>
      </c>
      <c r="O274" s="15">
        <v>1</v>
      </c>
      <c r="P274" s="15" t="str">
        <f>"Advance Return"</f>
        <v>Advance Return</v>
      </c>
      <c r="Q274" s="15" t="str">
        <f>"Taipei Accomodation"</f>
        <v>Taipei Accomodation</v>
      </c>
      <c r="R274" s="15" t="str">
        <f>"JOANNE KHOO ROU YAN"</f>
        <v>JOANNE KHOO ROU YAN</v>
      </c>
    </row>
    <row r="275" spans="1:18" x14ac:dyDescent="0.25">
      <c r="A275" s="15">
        <v>8003879954</v>
      </c>
      <c r="B275" s="15">
        <v>55</v>
      </c>
      <c r="C275" s="15">
        <v>6122017</v>
      </c>
      <c r="D275" s="15">
        <v>299</v>
      </c>
      <c r="E275" s="15" t="str">
        <f>"GST"</f>
        <v>GST</v>
      </c>
      <c r="H275" s="14">
        <v>0.03</v>
      </c>
      <c r="I275" s="15" t="s">
        <v>28</v>
      </c>
      <c r="J275" s="14">
        <v>360062.28</v>
      </c>
      <c r="K275" s="15" t="s">
        <v>26</v>
      </c>
      <c r="L275" s="15">
        <v>5730</v>
      </c>
      <c r="M275" s="15" t="str">
        <f>""</f>
        <v/>
      </c>
      <c r="O275" s="15">
        <v>1</v>
      </c>
    </row>
    <row r="276" spans="1:18" x14ac:dyDescent="0.25">
      <c r="A276" s="15">
        <v>8003879954</v>
      </c>
      <c r="B276" s="15">
        <v>54</v>
      </c>
      <c r="C276" s="15">
        <v>6122017</v>
      </c>
      <c r="D276" s="15">
        <v>819</v>
      </c>
      <c r="E276" s="15" t="str">
        <f>"CHQ PROCESSING FEE"</f>
        <v>CHQ PROCESSING FEE</v>
      </c>
      <c r="H276" s="14">
        <v>0.5</v>
      </c>
      <c r="I276" s="15" t="s">
        <v>28</v>
      </c>
      <c r="J276" s="14">
        <v>360062.31</v>
      </c>
      <c r="K276" s="15" t="s">
        <v>26</v>
      </c>
      <c r="L276" s="15">
        <v>5730</v>
      </c>
      <c r="M276" s="15" t="str">
        <f>""</f>
        <v/>
      </c>
      <c r="O276" s="15">
        <v>1</v>
      </c>
    </row>
    <row r="277" spans="1:18" x14ac:dyDescent="0.25">
      <c r="A277" s="15">
        <v>8003879954</v>
      </c>
      <c r="B277" s="15">
        <v>53</v>
      </c>
      <c r="C277" s="15">
        <v>6122017</v>
      </c>
      <c r="D277" s="15">
        <v>323</v>
      </c>
      <c r="E277" s="15" t="str">
        <f>"CLRG CHQ DR"</f>
        <v>CLRG CHQ DR</v>
      </c>
      <c r="F277" s="15">
        <v>0</v>
      </c>
      <c r="G277" s="15" t="str">
        <f>"00688076"</f>
        <v>00688076</v>
      </c>
      <c r="H277" s="14">
        <v>1563.2</v>
      </c>
      <c r="I277" s="15" t="s">
        <v>28</v>
      </c>
      <c r="J277" s="14">
        <v>360062.81</v>
      </c>
      <c r="K277" s="15" t="s">
        <v>26</v>
      </c>
      <c r="L277" s="15">
        <v>5506</v>
      </c>
      <c r="M277" s="15" t="str">
        <f>""</f>
        <v/>
      </c>
      <c r="O277" s="15">
        <v>1</v>
      </c>
    </row>
    <row r="278" spans="1:18" x14ac:dyDescent="0.25">
      <c r="A278" s="15">
        <v>8003879954</v>
      </c>
      <c r="B278" s="15">
        <v>52</v>
      </c>
      <c r="C278" s="15">
        <v>6122017</v>
      </c>
      <c r="D278" s="15">
        <v>341</v>
      </c>
      <c r="E278" s="15" t="str">
        <f>"TR IBG"</f>
        <v>TR IBG</v>
      </c>
      <c r="F278" s="15">
        <v>9938</v>
      </c>
      <c r="G278" s="15" t="str">
        <f>"23860656"</f>
        <v>23860656</v>
      </c>
      <c r="H278" s="14">
        <v>3100</v>
      </c>
      <c r="I278" s="15" t="s">
        <v>28</v>
      </c>
      <c r="J278" s="14">
        <v>361626.01</v>
      </c>
      <c r="K278" s="15" t="s">
        <v>26</v>
      </c>
      <c r="L278" s="15">
        <v>194035</v>
      </c>
      <c r="M278" s="15" t="str">
        <f>"THUM CHIA CHIEH"</f>
        <v>THUM CHIA CHIEH</v>
      </c>
      <c r="O278" s="15">
        <v>1</v>
      </c>
      <c r="P278" s="15" t="str">
        <f>"PGTEFT2775"</f>
        <v>PGTEFT2775</v>
      </c>
      <c r="Q278" s="15" t="str">
        <f>"PHOTO SERVICE FOR"</f>
        <v>PHOTO SERVICE FOR</v>
      </c>
    </row>
    <row r="279" spans="1:18" x14ac:dyDescent="0.25">
      <c r="A279" s="15">
        <v>8003879954</v>
      </c>
      <c r="B279" s="15">
        <v>51</v>
      </c>
      <c r="C279" s="15">
        <v>6122017</v>
      </c>
      <c r="D279" s="15">
        <v>299</v>
      </c>
      <c r="E279" s="15" t="str">
        <f>"GST"</f>
        <v>GST</v>
      </c>
      <c r="F279" s="15">
        <v>9938</v>
      </c>
      <c r="G279" s="15" t="str">
        <f>"23860656"</f>
        <v>23860656</v>
      </c>
      <c r="H279" s="14">
        <v>0.01</v>
      </c>
      <c r="I279" s="15" t="s">
        <v>28</v>
      </c>
      <c r="J279" s="14">
        <v>364726.01</v>
      </c>
      <c r="K279" s="15" t="s">
        <v>26</v>
      </c>
      <c r="L279" s="15">
        <v>194035</v>
      </c>
      <c r="M279" s="15" t="str">
        <f>"PGTEFT2775          PHOTO SERVICE FOR"</f>
        <v>PGTEFT2775          PHOTO SERVICE FOR</v>
      </c>
      <c r="O279" s="15">
        <v>1</v>
      </c>
    </row>
    <row r="280" spans="1:18" x14ac:dyDescent="0.25">
      <c r="A280" s="15">
        <v>8003879954</v>
      </c>
      <c r="B280" s="15">
        <v>50</v>
      </c>
      <c r="C280" s="15">
        <v>6122017</v>
      </c>
      <c r="D280" s="15">
        <v>489</v>
      </c>
      <c r="E280" s="15" t="str">
        <f>"OTHER TRANSFER FEE"</f>
        <v>OTHER TRANSFER FEE</v>
      </c>
      <c r="F280" s="15">
        <v>9938</v>
      </c>
      <c r="G280" s="15" t="str">
        <f>"23860656"</f>
        <v>23860656</v>
      </c>
      <c r="H280" s="14">
        <v>0.1</v>
      </c>
      <c r="I280" s="15" t="s">
        <v>28</v>
      </c>
      <c r="J280" s="14">
        <v>364726.02</v>
      </c>
      <c r="K280" s="15" t="s">
        <v>26</v>
      </c>
      <c r="L280" s="15">
        <v>194035</v>
      </c>
      <c r="M280" s="15" t="str">
        <f>"PGTEFT2775          PHOTO SERVICE FOR"</f>
        <v>PGTEFT2775          PHOTO SERVICE FOR</v>
      </c>
      <c r="O280" s="15">
        <v>1</v>
      </c>
    </row>
    <row r="281" spans="1:18" x14ac:dyDescent="0.25">
      <c r="A281" s="15">
        <v>8003879954</v>
      </c>
      <c r="B281" s="15">
        <v>49</v>
      </c>
      <c r="C281" s="15">
        <v>6122017</v>
      </c>
      <c r="D281" s="15">
        <v>341</v>
      </c>
      <c r="E281" s="15" t="str">
        <f>"TR IBG"</f>
        <v>TR IBG</v>
      </c>
      <c r="F281" s="15">
        <v>9938</v>
      </c>
      <c r="G281" s="15" t="str">
        <f>"23859650"</f>
        <v>23859650</v>
      </c>
      <c r="H281" s="14">
        <v>480</v>
      </c>
      <c r="I281" s="15" t="s">
        <v>28</v>
      </c>
      <c r="J281" s="14">
        <v>364726.12</v>
      </c>
      <c r="K281" s="15" t="s">
        <v>26</v>
      </c>
      <c r="L281" s="15">
        <v>194035</v>
      </c>
      <c r="M281" s="15" t="str">
        <f>"YEAP KAM MOEY"</f>
        <v>YEAP KAM MOEY</v>
      </c>
      <c r="O281" s="15">
        <v>1</v>
      </c>
      <c r="P281" s="15" t="str">
        <f>"PGTEFT2777"</f>
        <v>PGTEFT2777</v>
      </c>
      <c r="Q281" s="15" t="str">
        <f>"OCT NOV"</f>
        <v>OCT NOV</v>
      </c>
    </row>
    <row r="282" spans="1:18" x14ac:dyDescent="0.25">
      <c r="A282" s="15">
        <v>8003879954</v>
      </c>
      <c r="B282" s="15">
        <v>48</v>
      </c>
      <c r="C282" s="15">
        <v>6122017</v>
      </c>
      <c r="D282" s="15">
        <v>299</v>
      </c>
      <c r="E282" s="15" t="str">
        <f>"GST"</f>
        <v>GST</v>
      </c>
      <c r="F282" s="15">
        <v>9938</v>
      </c>
      <c r="G282" s="15" t="str">
        <f>"23859650"</f>
        <v>23859650</v>
      </c>
      <c r="H282" s="14">
        <v>0.01</v>
      </c>
      <c r="I282" s="15" t="s">
        <v>28</v>
      </c>
      <c r="J282" s="14">
        <v>365206.12</v>
      </c>
      <c r="K282" s="15" t="s">
        <v>26</v>
      </c>
      <c r="L282" s="15">
        <v>194035</v>
      </c>
      <c r="M282" s="15" t="str">
        <f>"PGTEFT2777          OCT NOV"</f>
        <v>PGTEFT2777          OCT NOV</v>
      </c>
      <c r="O282" s="15">
        <v>1</v>
      </c>
    </row>
    <row r="283" spans="1:18" x14ac:dyDescent="0.25">
      <c r="A283" s="15">
        <v>8003879954</v>
      </c>
      <c r="B283" s="15">
        <v>47</v>
      </c>
      <c r="C283" s="15">
        <v>6122017</v>
      </c>
      <c r="D283" s="15">
        <v>489</v>
      </c>
      <c r="E283" s="15" t="str">
        <f>"OTHER TRANSFER FEE"</f>
        <v>OTHER TRANSFER FEE</v>
      </c>
      <c r="F283" s="15">
        <v>9938</v>
      </c>
      <c r="G283" s="15" t="str">
        <f>"23859650"</f>
        <v>23859650</v>
      </c>
      <c r="H283" s="14">
        <v>0.1</v>
      </c>
      <c r="I283" s="15" t="s">
        <v>28</v>
      </c>
      <c r="J283" s="14">
        <v>365206.13</v>
      </c>
      <c r="K283" s="15" t="s">
        <v>26</v>
      </c>
      <c r="L283" s="15">
        <v>194035</v>
      </c>
      <c r="M283" s="15" t="str">
        <f>"PGTEFT2777          OCT NOV"</f>
        <v>PGTEFT2777          OCT NOV</v>
      </c>
      <c r="O283" s="15">
        <v>1</v>
      </c>
    </row>
    <row r="284" spans="1:18" x14ac:dyDescent="0.25">
      <c r="A284" s="15">
        <v>8003879954</v>
      </c>
      <c r="B284" s="15">
        <v>46</v>
      </c>
      <c r="C284" s="15">
        <v>6122017</v>
      </c>
      <c r="D284" s="15">
        <v>345</v>
      </c>
      <c r="E284" s="15" t="str">
        <f>"TR TO SAVINGS"</f>
        <v>TR TO SAVINGS</v>
      </c>
      <c r="F284" s="15">
        <v>9938</v>
      </c>
      <c r="G284" s="15" t="str">
        <f>"23859518"</f>
        <v>23859518</v>
      </c>
      <c r="H284" s="14">
        <v>2733.19</v>
      </c>
      <c r="I284" s="15" t="s">
        <v>28</v>
      </c>
      <c r="J284" s="14">
        <v>365206.23</v>
      </c>
      <c r="K284" s="15" t="s">
        <v>26</v>
      </c>
      <c r="L284" s="15">
        <v>194035</v>
      </c>
      <c r="M284" s="15" t="str">
        <f>"DESTINATION TAIPEI DANNY TAN LEE KEONG"</f>
        <v>DESTINATION TAIPEI DANNY TAN LEE KEONG</v>
      </c>
      <c r="O284" s="15">
        <v>1</v>
      </c>
      <c r="P284" s="15" t="str">
        <f>"PGTEFT2782"</f>
        <v>PGTEFT2782</v>
      </c>
      <c r="Q284" s="15" t="str">
        <f>"CLAIMS"</f>
        <v>CLAIMS</v>
      </c>
    </row>
    <row r="285" spans="1:18" x14ac:dyDescent="0.25">
      <c r="A285" s="15">
        <v>8003879954</v>
      </c>
      <c r="B285" s="15">
        <v>45</v>
      </c>
      <c r="C285" s="15">
        <v>6122017</v>
      </c>
      <c r="D285" s="15">
        <v>345</v>
      </c>
      <c r="E285" s="15" t="str">
        <f>"TR TO SAVINGS"</f>
        <v>TR TO SAVINGS</v>
      </c>
      <c r="F285" s="15">
        <v>9938</v>
      </c>
      <c r="G285" s="15" t="str">
        <f>"23852166"</f>
        <v>23852166</v>
      </c>
      <c r="H285" s="14">
        <v>2965.87</v>
      </c>
      <c r="I285" s="15" t="s">
        <v>28</v>
      </c>
      <c r="J285" s="14">
        <v>367939.42</v>
      </c>
      <c r="K285" s="15" t="s">
        <v>26</v>
      </c>
      <c r="L285" s="15">
        <v>194035</v>
      </c>
      <c r="M285" s="15" t="str">
        <f>"ROCKY FAM &amp; WTM YOON PAULINE"</f>
        <v>ROCKY FAM &amp; WTM YOON PAULINE</v>
      </c>
      <c r="O285" s="15">
        <v>1</v>
      </c>
      <c r="P285" s="15" t="str">
        <f>"PGTEFT2786"</f>
        <v>PGTEFT2786</v>
      </c>
      <c r="Q285" s="15" t="str">
        <f>"CLAIMS"</f>
        <v>CLAIMS</v>
      </c>
    </row>
    <row r="286" spans="1:18" x14ac:dyDescent="0.25">
      <c r="A286" s="15">
        <v>8003879954</v>
      </c>
      <c r="B286" s="15">
        <v>44</v>
      </c>
      <c r="C286" s="15">
        <v>6122017</v>
      </c>
      <c r="D286" s="15">
        <v>345</v>
      </c>
      <c r="E286" s="15" t="str">
        <f>"TR TO SAVINGS"</f>
        <v>TR TO SAVINGS</v>
      </c>
      <c r="F286" s="15">
        <v>9938</v>
      </c>
      <c r="G286" s="15" t="str">
        <f>"23859307"</f>
        <v>23859307</v>
      </c>
      <c r="H286" s="14">
        <v>1422.16</v>
      </c>
      <c r="I286" s="15" t="s">
        <v>28</v>
      </c>
      <c r="J286" s="14">
        <v>370905.29</v>
      </c>
      <c r="K286" s="15" t="s">
        <v>26</v>
      </c>
      <c r="L286" s="15">
        <v>194035</v>
      </c>
      <c r="M286" s="15" t="str">
        <f>"ITB ASIA OOI CHOK YAN"</f>
        <v>ITB ASIA OOI CHOK YAN</v>
      </c>
      <c r="O286" s="15">
        <v>1</v>
      </c>
      <c r="P286" s="15" t="str">
        <f>"PGTEFT2784"</f>
        <v>PGTEFT2784</v>
      </c>
      <c r="Q286" s="15" t="str">
        <f>"CLAIMS"</f>
        <v>CLAIMS</v>
      </c>
    </row>
    <row r="287" spans="1:18" x14ac:dyDescent="0.25">
      <c r="A287" s="15">
        <v>8003879954</v>
      </c>
      <c r="B287" s="15">
        <v>43</v>
      </c>
      <c r="C287" s="15">
        <v>6122017</v>
      </c>
      <c r="D287" s="15">
        <v>341</v>
      </c>
      <c r="E287" s="15" t="str">
        <f>"TR IBG"</f>
        <v>TR IBG</v>
      </c>
      <c r="F287" s="15">
        <v>9938</v>
      </c>
      <c r="G287" s="15" t="str">
        <f>"23859600"</f>
        <v>23859600</v>
      </c>
      <c r="H287" s="14">
        <v>5796.8</v>
      </c>
      <c r="I287" s="15" t="s">
        <v>28</v>
      </c>
      <c r="J287" s="14">
        <v>372327.45</v>
      </c>
      <c r="K287" s="15" t="s">
        <v>26</v>
      </c>
      <c r="L287" s="15">
        <v>194034</v>
      </c>
      <c r="M287" s="15" t="str">
        <f>"CAHAYAN UTARA SDN BH"</f>
        <v>CAHAYAN UTARA SDN BH</v>
      </c>
      <c r="O287" s="15">
        <v>1</v>
      </c>
      <c r="P287" s="15" t="str">
        <f>"PGTEFT2781"</f>
        <v>PGTEFT2781</v>
      </c>
      <c r="Q287" s="15" t="str">
        <f>"PROFORMA INV"</f>
        <v>PROFORMA INV</v>
      </c>
    </row>
    <row r="288" spans="1:18" x14ac:dyDescent="0.25">
      <c r="A288" s="15">
        <v>8003879954</v>
      </c>
      <c r="B288" s="15">
        <v>42</v>
      </c>
      <c r="C288" s="15">
        <v>6122017</v>
      </c>
      <c r="D288" s="15">
        <v>299</v>
      </c>
      <c r="E288" s="15" t="str">
        <f>"GST"</f>
        <v>GST</v>
      </c>
      <c r="F288" s="15">
        <v>9938</v>
      </c>
      <c r="G288" s="15" t="str">
        <f>"23859600"</f>
        <v>23859600</v>
      </c>
      <c r="H288" s="14">
        <v>0.01</v>
      </c>
      <c r="I288" s="15" t="s">
        <v>28</v>
      </c>
      <c r="J288" s="14">
        <v>378124.25</v>
      </c>
      <c r="K288" s="15" t="s">
        <v>26</v>
      </c>
      <c r="L288" s="15">
        <v>194034</v>
      </c>
      <c r="M288" s="15" t="str">
        <f>"PGTEFT2781          PROFORMA INV"</f>
        <v>PGTEFT2781          PROFORMA INV</v>
      </c>
      <c r="O288" s="15">
        <v>1</v>
      </c>
    </row>
    <row r="289" spans="1:17" x14ac:dyDescent="0.25">
      <c r="A289" s="15">
        <v>8003879954</v>
      </c>
      <c r="B289" s="15">
        <v>41</v>
      </c>
      <c r="C289" s="15">
        <v>6122017</v>
      </c>
      <c r="D289" s="15">
        <v>489</v>
      </c>
      <c r="E289" s="15" t="str">
        <f>"OTHER TRANSFER FEE"</f>
        <v>OTHER TRANSFER FEE</v>
      </c>
      <c r="F289" s="15">
        <v>9938</v>
      </c>
      <c r="G289" s="15" t="str">
        <f>"23859600"</f>
        <v>23859600</v>
      </c>
      <c r="H289" s="14">
        <v>0.1</v>
      </c>
      <c r="I289" s="15" t="s">
        <v>28</v>
      </c>
      <c r="J289" s="14">
        <v>378124.26</v>
      </c>
      <c r="K289" s="15" t="s">
        <v>26</v>
      </c>
      <c r="L289" s="15">
        <v>194034</v>
      </c>
      <c r="M289" s="15" t="str">
        <f>"PGTEFT2781          PROFORMA INV"</f>
        <v>PGTEFT2781          PROFORMA INV</v>
      </c>
      <c r="O289" s="15">
        <v>1</v>
      </c>
    </row>
    <row r="290" spans="1:17" x14ac:dyDescent="0.25">
      <c r="A290" s="15">
        <v>8003879954</v>
      </c>
      <c r="B290" s="15">
        <v>40</v>
      </c>
      <c r="C290" s="15">
        <v>6122017</v>
      </c>
      <c r="D290" s="15">
        <v>341</v>
      </c>
      <c r="E290" s="15" t="str">
        <f>"TR IBG"</f>
        <v>TR IBG</v>
      </c>
      <c r="F290" s="15">
        <v>9938</v>
      </c>
      <c r="G290" s="15" t="str">
        <f>"23859195"</f>
        <v>23859195</v>
      </c>
      <c r="H290" s="14">
        <v>3420</v>
      </c>
      <c r="I290" s="15" t="s">
        <v>28</v>
      </c>
      <c r="J290" s="14">
        <v>378124.36</v>
      </c>
      <c r="K290" s="15" t="s">
        <v>26</v>
      </c>
      <c r="L290" s="15">
        <v>194034</v>
      </c>
      <c r="M290" s="15" t="str">
        <f>"TRAVERSE TOURS SDN B"</f>
        <v>TRAVERSE TOURS SDN B</v>
      </c>
      <c r="O290" s="15">
        <v>1</v>
      </c>
      <c r="P290" s="15" t="str">
        <f>"PGTEFT2785"</f>
        <v>PGTEFT2785</v>
      </c>
      <c r="Q290" s="15" t="str">
        <f>"IT-000782"</f>
        <v>IT-000782</v>
      </c>
    </row>
    <row r="291" spans="1:17" x14ac:dyDescent="0.25">
      <c r="A291" s="15">
        <v>8003879954</v>
      </c>
      <c r="B291" s="15">
        <v>39</v>
      </c>
      <c r="C291" s="15">
        <v>6122017</v>
      </c>
      <c r="D291" s="15">
        <v>299</v>
      </c>
      <c r="E291" s="15" t="str">
        <f>"GST"</f>
        <v>GST</v>
      </c>
      <c r="F291" s="15">
        <v>9938</v>
      </c>
      <c r="G291" s="15" t="str">
        <f>"23859195"</f>
        <v>23859195</v>
      </c>
      <c r="H291" s="14">
        <v>0.01</v>
      </c>
      <c r="I291" s="15" t="s">
        <v>28</v>
      </c>
      <c r="J291" s="14">
        <v>381544.36</v>
      </c>
      <c r="K291" s="15" t="s">
        <v>26</v>
      </c>
      <c r="L291" s="15">
        <v>194034</v>
      </c>
      <c r="M291" s="15" t="str">
        <f>"PGTEFT2785          IT-000782"</f>
        <v>PGTEFT2785          IT-000782</v>
      </c>
      <c r="O291" s="15">
        <v>1</v>
      </c>
    </row>
    <row r="292" spans="1:17" x14ac:dyDescent="0.25">
      <c r="A292" s="15">
        <v>8003879954</v>
      </c>
      <c r="B292" s="15">
        <v>38</v>
      </c>
      <c r="C292" s="15">
        <v>6122017</v>
      </c>
      <c r="D292" s="15">
        <v>489</v>
      </c>
      <c r="E292" s="15" t="str">
        <f>"OTHER TRANSFER FEE"</f>
        <v>OTHER TRANSFER FEE</v>
      </c>
      <c r="F292" s="15">
        <v>9938</v>
      </c>
      <c r="G292" s="15" t="str">
        <f>"23859195"</f>
        <v>23859195</v>
      </c>
      <c r="H292" s="14">
        <v>0.1</v>
      </c>
      <c r="I292" s="15" t="s">
        <v>28</v>
      </c>
      <c r="J292" s="14">
        <v>381544.37</v>
      </c>
      <c r="K292" s="15" t="s">
        <v>26</v>
      </c>
      <c r="L292" s="15">
        <v>194034</v>
      </c>
      <c r="M292" s="15" t="str">
        <f>"PGTEFT2785          IT-000782"</f>
        <v>PGTEFT2785          IT-000782</v>
      </c>
      <c r="O292" s="15">
        <v>1</v>
      </c>
    </row>
    <row r="293" spans="1:17" x14ac:dyDescent="0.25">
      <c r="A293" s="15">
        <v>8003879954</v>
      </c>
      <c r="B293" s="15">
        <v>37</v>
      </c>
      <c r="C293" s="15">
        <v>6122017</v>
      </c>
      <c r="D293" s="15">
        <v>341</v>
      </c>
      <c r="E293" s="15" t="str">
        <f>"TR IBG"</f>
        <v>TR IBG</v>
      </c>
      <c r="F293" s="15">
        <v>9938</v>
      </c>
      <c r="G293" s="15" t="str">
        <f>"23860796"</f>
        <v>23860796</v>
      </c>
      <c r="H293" s="14">
        <v>2031.52</v>
      </c>
      <c r="I293" s="15" t="s">
        <v>28</v>
      </c>
      <c r="J293" s="14">
        <v>381544.47</v>
      </c>
      <c r="K293" s="15" t="s">
        <v>26</v>
      </c>
      <c r="L293" s="15">
        <v>194033</v>
      </c>
      <c r="M293" s="15" t="str">
        <f>"SHANGRI-LA HOTEL (M)"</f>
        <v>SHANGRI-LA HOTEL (M)</v>
      </c>
      <c r="O293" s="15">
        <v>1</v>
      </c>
      <c r="P293" s="15" t="str">
        <f>"PGTEFT2774"</f>
        <v>PGTEFT2774</v>
      </c>
      <c r="Q293" s="15" t="str">
        <f>"INV193835"</f>
        <v>INV193835</v>
      </c>
    </row>
    <row r="294" spans="1:17" x14ac:dyDescent="0.25">
      <c r="A294" s="15">
        <v>8003879954</v>
      </c>
      <c r="B294" s="15">
        <v>36</v>
      </c>
      <c r="C294" s="15">
        <v>6122017</v>
      </c>
      <c r="D294" s="15">
        <v>299</v>
      </c>
      <c r="E294" s="15" t="str">
        <f>"GST"</f>
        <v>GST</v>
      </c>
      <c r="F294" s="15">
        <v>9938</v>
      </c>
      <c r="G294" s="15" t="str">
        <f>"23860796"</f>
        <v>23860796</v>
      </c>
      <c r="H294" s="14">
        <v>0.01</v>
      </c>
      <c r="I294" s="15" t="s">
        <v>28</v>
      </c>
      <c r="J294" s="14">
        <v>383575.99</v>
      </c>
      <c r="K294" s="15" t="s">
        <v>26</v>
      </c>
      <c r="L294" s="15">
        <v>194033</v>
      </c>
      <c r="M294" s="15" t="str">
        <f>"PGTEFT2774          INV193835"</f>
        <v>PGTEFT2774          INV193835</v>
      </c>
      <c r="O294" s="15">
        <v>1</v>
      </c>
    </row>
    <row r="295" spans="1:17" x14ac:dyDescent="0.25">
      <c r="A295" s="15">
        <v>8003879954</v>
      </c>
      <c r="B295" s="15">
        <v>35</v>
      </c>
      <c r="C295" s="15">
        <v>6122017</v>
      </c>
      <c r="D295" s="15">
        <v>489</v>
      </c>
      <c r="E295" s="15" t="str">
        <f>"OTHER TRANSFER FEE"</f>
        <v>OTHER TRANSFER FEE</v>
      </c>
      <c r="F295" s="15">
        <v>9938</v>
      </c>
      <c r="G295" s="15" t="str">
        <f>"23860796"</f>
        <v>23860796</v>
      </c>
      <c r="H295" s="14">
        <v>0.1</v>
      </c>
      <c r="I295" s="15" t="s">
        <v>28</v>
      </c>
      <c r="J295" s="14">
        <v>383576</v>
      </c>
      <c r="K295" s="15" t="s">
        <v>26</v>
      </c>
      <c r="L295" s="15">
        <v>194033</v>
      </c>
      <c r="M295" s="15" t="str">
        <f>"PGTEFT2774          INV193835"</f>
        <v>PGTEFT2774          INV193835</v>
      </c>
      <c r="O295" s="15">
        <v>1</v>
      </c>
    </row>
    <row r="296" spans="1:17" x14ac:dyDescent="0.25">
      <c r="A296" s="15">
        <v>8003879954</v>
      </c>
      <c r="B296" s="15">
        <v>34</v>
      </c>
      <c r="C296" s="15">
        <v>6122017</v>
      </c>
      <c r="D296" s="15">
        <v>341</v>
      </c>
      <c r="E296" s="15" t="str">
        <f>"TR IBG"</f>
        <v>TR IBG</v>
      </c>
      <c r="F296" s="15">
        <v>9938</v>
      </c>
      <c r="G296" s="15" t="str">
        <f>"23859998"</f>
        <v>23859998</v>
      </c>
      <c r="H296" s="14">
        <v>69.599999999999994</v>
      </c>
      <c r="I296" s="15" t="s">
        <v>28</v>
      </c>
      <c r="J296" s="14">
        <v>383576.1</v>
      </c>
      <c r="K296" s="15" t="s">
        <v>26</v>
      </c>
      <c r="L296" s="15">
        <v>194033</v>
      </c>
      <c r="M296" s="15" t="str">
        <f>"WEB ASP SDN BHD"</f>
        <v>WEB ASP SDN BHD</v>
      </c>
      <c r="O296" s="15">
        <v>1</v>
      </c>
      <c r="P296" s="15" t="str">
        <f>"PGTEFT2776"</f>
        <v>PGTEFT2776</v>
      </c>
      <c r="Q296" s="15" t="str">
        <f>"20044444"</f>
        <v>20044444</v>
      </c>
    </row>
    <row r="297" spans="1:17" x14ac:dyDescent="0.25">
      <c r="A297" s="15">
        <v>8003879954</v>
      </c>
      <c r="B297" s="15">
        <v>33</v>
      </c>
      <c r="C297" s="15">
        <v>6122017</v>
      </c>
      <c r="D297" s="15">
        <v>299</v>
      </c>
      <c r="E297" s="15" t="str">
        <f>"GST"</f>
        <v>GST</v>
      </c>
      <c r="F297" s="15">
        <v>9938</v>
      </c>
      <c r="G297" s="15" t="str">
        <f>"23859998"</f>
        <v>23859998</v>
      </c>
      <c r="H297" s="14">
        <v>0.01</v>
      </c>
      <c r="I297" s="15" t="s">
        <v>28</v>
      </c>
      <c r="J297" s="14">
        <v>383645.7</v>
      </c>
      <c r="K297" s="15" t="s">
        <v>26</v>
      </c>
      <c r="L297" s="15">
        <v>194033</v>
      </c>
      <c r="M297" s="15" t="str">
        <f>"PGTEFT2776          20044444"</f>
        <v>PGTEFT2776          20044444</v>
      </c>
      <c r="O297" s="15">
        <v>1</v>
      </c>
    </row>
    <row r="298" spans="1:17" x14ac:dyDescent="0.25">
      <c r="A298" s="15">
        <v>8003879954</v>
      </c>
      <c r="B298" s="15">
        <v>32</v>
      </c>
      <c r="C298" s="15">
        <v>6122017</v>
      </c>
      <c r="D298" s="15">
        <v>489</v>
      </c>
      <c r="E298" s="15" t="str">
        <f>"OTHER TRANSFER FEE"</f>
        <v>OTHER TRANSFER FEE</v>
      </c>
      <c r="F298" s="15">
        <v>9938</v>
      </c>
      <c r="G298" s="15" t="str">
        <f>"23859998"</f>
        <v>23859998</v>
      </c>
      <c r="H298" s="14">
        <v>0.1</v>
      </c>
      <c r="I298" s="15" t="s">
        <v>28</v>
      </c>
      <c r="J298" s="14">
        <v>383645.71</v>
      </c>
      <c r="K298" s="15" t="s">
        <v>26</v>
      </c>
      <c r="L298" s="15">
        <v>194033</v>
      </c>
      <c r="M298" s="15" t="str">
        <f>"PGTEFT2776          20044444"</f>
        <v>PGTEFT2776          20044444</v>
      </c>
      <c r="O298" s="15">
        <v>1</v>
      </c>
    </row>
    <row r="299" spans="1:17" x14ac:dyDescent="0.25">
      <c r="A299" s="15">
        <v>8003879954</v>
      </c>
      <c r="B299" s="15">
        <v>31</v>
      </c>
      <c r="C299" s="15">
        <v>6122017</v>
      </c>
      <c r="D299" s="15">
        <v>60</v>
      </c>
      <c r="E299" s="15" t="str">
        <f>"TR TO C/A"</f>
        <v>TR TO C/A</v>
      </c>
      <c r="F299" s="15">
        <v>9938</v>
      </c>
      <c r="G299" s="15" t="str">
        <f>"23859394"</f>
        <v>23859394</v>
      </c>
      <c r="H299" s="14">
        <v>613</v>
      </c>
      <c r="I299" s="15" t="s">
        <v>28</v>
      </c>
      <c r="J299" s="14">
        <v>383645.81</v>
      </c>
      <c r="K299" s="15" t="s">
        <v>26</v>
      </c>
      <c r="L299" s="15">
        <v>194033</v>
      </c>
      <c r="M299" s="15" t="str">
        <f>"SUMMONS, REPAIR OF C LIM HOOI LENG"</f>
        <v>SUMMONS, REPAIR OF C LIM HOOI LENG</v>
      </c>
      <c r="O299" s="15">
        <v>1</v>
      </c>
      <c r="P299" s="15" t="str">
        <f>"PGTEFT2783"</f>
        <v>PGTEFT2783</v>
      </c>
      <c r="Q299" s="15" t="str">
        <f>"CLAIMS"</f>
        <v>CLAIMS</v>
      </c>
    </row>
    <row r="300" spans="1:17" x14ac:dyDescent="0.25">
      <c r="A300" s="15">
        <v>8003879954</v>
      </c>
      <c r="B300" s="15">
        <v>30</v>
      </c>
      <c r="C300" s="15">
        <v>6122017</v>
      </c>
      <c r="D300" s="15">
        <v>341</v>
      </c>
      <c r="E300" s="15" t="str">
        <f>"TR IBG"</f>
        <v>TR IBG</v>
      </c>
      <c r="F300" s="15">
        <v>9938</v>
      </c>
      <c r="G300" s="15" t="str">
        <f>"23861118"</f>
        <v>23861118</v>
      </c>
      <c r="H300" s="14">
        <v>710.3</v>
      </c>
      <c r="I300" s="15" t="s">
        <v>28</v>
      </c>
      <c r="J300" s="14">
        <v>384258.81</v>
      </c>
      <c r="K300" s="15" t="s">
        <v>26</v>
      </c>
      <c r="L300" s="15">
        <v>193527</v>
      </c>
      <c r="M300" s="15" t="str">
        <f>"TNT EXPRESS WORLDWID"</f>
        <v>TNT EXPRESS WORLDWID</v>
      </c>
      <c r="O300" s="15">
        <v>1</v>
      </c>
      <c r="P300" s="15" t="str">
        <f>"PGTEFT2773"</f>
        <v>PGTEFT2773</v>
      </c>
      <c r="Q300" s="15" t="str">
        <f>"ACC233560"</f>
        <v>ACC233560</v>
      </c>
    </row>
    <row r="301" spans="1:17" x14ac:dyDescent="0.25">
      <c r="A301" s="15">
        <v>8003879954</v>
      </c>
      <c r="B301" s="15">
        <v>29</v>
      </c>
      <c r="C301" s="15">
        <v>6122017</v>
      </c>
      <c r="D301" s="15">
        <v>299</v>
      </c>
      <c r="E301" s="15" t="str">
        <f>"GST"</f>
        <v>GST</v>
      </c>
      <c r="F301" s="15">
        <v>9938</v>
      </c>
      <c r="G301" s="15" t="str">
        <f>"23861118"</f>
        <v>23861118</v>
      </c>
      <c r="H301" s="14">
        <v>0.01</v>
      </c>
      <c r="I301" s="15" t="s">
        <v>28</v>
      </c>
      <c r="J301" s="14">
        <v>384969.11</v>
      </c>
      <c r="K301" s="15" t="s">
        <v>26</v>
      </c>
      <c r="L301" s="15">
        <v>193527</v>
      </c>
      <c r="M301" s="15" t="str">
        <f>"PGTEFT2773          ACC233560"</f>
        <v>PGTEFT2773          ACC233560</v>
      </c>
      <c r="O301" s="15">
        <v>1</v>
      </c>
    </row>
    <row r="302" spans="1:17" x14ac:dyDescent="0.25">
      <c r="A302" s="15">
        <v>8003879954</v>
      </c>
      <c r="B302" s="15">
        <v>28</v>
      </c>
      <c r="C302" s="15">
        <v>6122017</v>
      </c>
      <c r="D302" s="15">
        <v>489</v>
      </c>
      <c r="E302" s="15" t="str">
        <f>"OTHER TRANSFER FEE"</f>
        <v>OTHER TRANSFER FEE</v>
      </c>
      <c r="F302" s="15">
        <v>9938</v>
      </c>
      <c r="G302" s="15" t="str">
        <f>"23861118"</f>
        <v>23861118</v>
      </c>
      <c r="H302" s="14">
        <v>0.1</v>
      </c>
      <c r="I302" s="15" t="s">
        <v>28</v>
      </c>
      <c r="J302" s="14">
        <v>384969.12</v>
      </c>
      <c r="K302" s="15" t="s">
        <v>26</v>
      </c>
      <c r="L302" s="15">
        <v>193527</v>
      </c>
      <c r="M302" s="15" t="str">
        <f>"PGTEFT2773          ACC233560"</f>
        <v>PGTEFT2773          ACC233560</v>
      </c>
      <c r="O302" s="15">
        <v>1</v>
      </c>
    </row>
    <row r="303" spans="1:17" x14ac:dyDescent="0.25">
      <c r="A303" s="15">
        <v>8003879954</v>
      </c>
      <c r="B303" s="15">
        <v>27</v>
      </c>
      <c r="C303" s="15">
        <v>6122017</v>
      </c>
      <c r="D303" s="15">
        <v>341</v>
      </c>
      <c r="E303" s="15" t="str">
        <f>"TR IBG"</f>
        <v>TR IBG</v>
      </c>
      <c r="F303" s="15">
        <v>9938</v>
      </c>
      <c r="G303" s="15" t="str">
        <f>"23861819"</f>
        <v>23861819</v>
      </c>
      <c r="H303" s="14">
        <v>850</v>
      </c>
      <c r="I303" s="15" t="s">
        <v>28</v>
      </c>
      <c r="J303" s="14">
        <v>384969.22</v>
      </c>
      <c r="K303" s="15" t="s">
        <v>26</v>
      </c>
      <c r="L303" s="15">
        <v>193527</v>
      </c>
      <c r="M303" s="15" t="str">
        <f>"BBWEB SOLUTIONS"</f>
        <v>BBWEB SOLUTIONS</v>
      </c>
      <c r="O303" s="15">
        <v>1</v>
      </c>
      <c r="P303" s="15" t="str">
        <f>"PGTEFT2764"</f>
        <v>PGTEFT2764</v>
      </c>
      <c r="Q303" s="15" t="str">
        <f>"INV2017-81"</f>
        <v>INV2017-81</v>
      </c>
    </row>
    <row r="304" spans="1:17" x14ac:dyDescent="0.25">
      <c r="A304" s="15">
        <v>8003879954</v>
      </c>
      <c r="B304" s="15">
        <v>26</v>
      </c>
      <c r="C304" s="15">
        <v>6122017</v>
      </c>
      <c r="D304" s="15">
        <v>299</v>
      </c>
      <c r="E304" s="15" t="str">
        <f>"GST"</f>
        <v>GST</v>
      </c>
      <c r="F304" s="15">
        <v>9938</v>
      </c>
      <c r="G304" s="15" t="str">
        <f>"23861819"</f>
        <v>23861819</v>
      </c>
      <c r="H304" s="14">
        <v>0.01</v>
      </c>
      <c r="I304" s="15" t="s">
        <v>28</v>
      </c>
      <c r="J304" s="14">
        <v>385819.22</v>
      </c>
      <c r="K304" s="15" t="s">
        <v>26</v>
      </c>
      <c r="L304" s="15">
        <v>193527</v>
      </c>
      <c r="M304" s="15" t="str">
        <f>"PGTEFT2764          INV2017-81"</f>
        <v>PGTEFT2764          INV2017-81</v>
      </c>
      <c r="O304" s="15">
        <v>1</v>
      </c>
    </row>
    <row r="305" spans="1:17" x14ac:dyDescent="0.25">
      <c r="A305" s="15">
        <v>8003879954</v>
      </c>
      <c r="B305" s="15">
        <v>25</v>
      </c>
      <c r="C305" s="15">
        <v>6122017</v>
      </c>
      <c r="D305" s="15">
        <v>489</v>
      </c>
      <c r="E305" s="15" t="str">
        <f>"OTHER TRANSFER FEE"</f>
        <v>OTHER TRANSFER FEE</v>
      </c>
      <c r="F305" s="15">
        <v>9938</v>
      </c>
      <c r="G305" s="15" t="str">
        <f>"23861819"</f>
        <v>23861819</v>
      </c>
      <c r="H305" s="14">
        <v>0.1</v>
      </c>
      <c r="I305" s="15" t="s">
        <v>28</v>
      </c>
      <c r="J305" s="14">
        <v>385819.23</v>
      </c>
      <c r="K305" s="15" t="s">
        <v>26</v>
      </c>
      <c r="L305" s="15">
        <v>193527</v>
      </c>
      <c r="M305" s="15" t="str">
        <f>"PGTEFT2764          INV2017-81"</f>
        <v>PGTEFT2764          INV2017-81</v>
      </c>
      <c r="O305" s="15">
        <v>1</v>
      </c>
    </row>
    <row r="306" spans="1:17" x14ac:dyDescent="0.25">
      <c r="A306" s="15">
        <v>8003879954</v>
      </c>
      <c r="B306" s="15">
        <v>24</v>
      </c>
      <c r="C306" s="15">
        <v>6122017</v>
      </c>
      <c r="D306" s="15">
        <v>341</v>
      </c>
      <c r="E306" s="15" t="str">
        <f>"TR IBG"</f>
        <v>TR IBG</v>
      </c>
      <c r="F306" s="15">
        <v>9938</v>
      </c>
      <c r="G306" s="15" t="str">
        <f>"23861305"</f>
        <v>23861305</v>
      </c>
      <c r="H306" s="14">
        <v>3000</v>
      </c>
      <c r="I306" s="15" t="s">
        <v>28</v>
      </c>
      <c r="J306" s="14">
        <v>385819.33</v>
      </c>
      <c r="K306" s="15" t="s">
        <v>26</v>
      </c>
      <c r="L306" s="15">
        <v>193526</v>
      </c>
      <c r="M306" s="15" t="str">
        <f>"MAJLIS KEBUDAYAAN NE"</f>
        <v>MAJLIS KEBUDAYAAN NE</v>
      </c>
      <c r="O306" s="15">
        <v>1</v>
      </c>
      <c r="P306" s="15" t="str">
        <f>"PGTEFT2771"</f>
        <v>PGTEFT2771</v>
      </c>
      <c r="Q306" s="15" t="str">
        <f>"KKNPP-2017-02-30 31"</f>
        <v>KKNPP-2017-02-30 31</v>
      </c>
    </row>
    <row r="307" spans="1:17" x14ac:dyDescent="0.25">
      <c r="A307" s="15">
        <v>8003879954</v>
      </c>
      <c r="B307" s="15">
        <v>23</v>
      </c>
      <c r="C307" s="15">
        <v>6122017</v>
      </c>
      <c r="D307" s="15">
        <v>299</v>
      </c>
      <c r="E307" s="15" t="str">
        <f>"GST"</f>
        <v>GST</v>
      </c>
      <c r="F307" s="15">
        <v>9938</v>
      </c>
      <c r="G307" s="15" t="str">
        <f>"23861305"</f>
        <v>23861305</v>
      </c>
      <c r="H307" s="14">
        <v>0.01</v>
      </c>
      <c r="I307" s="15" t="s">
        <v>28</v>
      </c>
      <c r="J307" s="14">
        <v>388819.33</v>
      </c>
      <c r="K307" s="15" t="s">
        <v>26</v>
      </c>
      <c r="L307" s="15">
        <v>193526</v>
      </c>
      <c r="M307" s="15" t="str">
        <f>"PGTEFT2771          KKNPP-2017-02-30 31"</f>
        <v>PGTEFT2771          KKNPP-2017-02-30 31</v>
      </c>
      <c r="O307" s="15">
        <v>1</v>
      </c>
    </row>
    <row r="308" spans="1:17" x14ac:dyDescent="0.25">
      <c r="A308" s="15">
        <v>8003879954</v>
      </c>
      <c r="B308" s="15">
        <v>22</v>
      </c>
      <c r="C308" s="15">
        <v>6122017</v>
      </c>
      <c r="D308" s="15">
        <v>489</v>
      </c>
      <c r="E308" s="15" t="str">
        <f>"OTHER TRANSFER FEE"</f>
        <v>OTHER TRANSFER FEE</v>
      </c>
      <c r="F308" s="15">
        <v>9938</v>
      </c>
      <c r="G308" s="15" t="str">
        <f>"23861305"</f>
        <v>23861305</v>
      </c>
      <c r="H308" s="14">
        <v>0.1</v>
      </c>
      <c r="I308" s="15" t="s">
        <v>28</v>
      </c>
      <c r="J308" s="14">
        <v>388819.34</v>
      </c>
      <c r="K308" s="15" t="s">
        <v>26</v>
      </c>
      <c r="L308" s="15">
        <v>193526</v>
      </c>
      <c r="M308" s="15" t="str">
        <f>"PGTEFT2771          KKNPP-2017-02-30 31"</f>
        <v>PGTEFT2771          KKNPP-2017-02-30 31</v>
      </c>
      <c r="O308" s="15">
        <v>1</v>
      </c>
    </row>
    <row r="309" spans="1:17" x14ac:dyDescent="0.25">
      <c r="A309" s="15">
        <v>8003879954</v>
      </c>
      <c r="B309" s="15">
        <v>21</v>
      </c>
      <c r="C309" s="15">
        <v>6122017</v>
      </c>
      <c r="D309" s="15">
        <v>341</v>
      </c>
      <c r="E309" s="15" t="str">
        <f>"TR IBG"</f>
        <v>TR IBG</v>
      </c>
      <c r="F309" s="15">
        <v>9938</v>
      </c>
      <c r="G309" s="15" t="str">
        <f>"23861499"</f>
        <v>23861499</v>
      </c>
      <c r="H309" s="14">
        <v>1696.15</v>
      </c>
      <c r="I309" s="15" t="s">
        <v>28</v>
      </c>
      <c r="J309" s="14">
        <v>388819.44</v>
      </c>
      <c r="K309" s="15" t="s">
        <v>26</v>
      </c>
      <c r="L309" s="15">
        <v>193525</v>
      </c>
      <c r="M309" s="15" t="str">
        <f>"FUJI XEROX ASIA PACI"</f>
        <v>FUJI XEROX ASIA PACI</v>
      </c>
      <c r="O309" s="15">
        <v>1</v>
      </c>
      <c r="P309" s="15" t="str">
        <f>"PGTEFT2768"</f>
        <v>PGTEFT2768</v>
      </c>
      <c r="Q309" s="15" t="str">
        <f>"ACC316057"</f>
        <v>ACC316057</v>
      </c>
    </row>
    <row r="310" spans="1:17" x14ac:dyDescent="0.25">
      <c r="A310" s="15">
        <v>8003879954</v>
      </c>
      <c r="B310" s="15">
        <v>20</v>
      </c>
      <c r="C310" s="15">
        <v>6122017</v>
      </c>
      <c r="D310" s="15">
        <v>299</v>
      </c>
      <c r="E310" s="15" t="str">
        <f>"GST"</f>
        <v>GST</v>
      </c>
      <c r="F310" s="15">
        <v>9938</v>
      </c>
      <c r="G310" s="15" t="str">
        <f>"23861499"</f>
        <v>23861499</v>
      </c>
      <c r="H310" s="14">
        <v>0.01</v>
      </c>
      <c r="I310" s="15" t="s">
        <v>28</v>
      </c>
      <c r="J310" s="14">
        <v>390515.59</v>
      </c>
      <c r="K310" s="15" t="s">
        <v>26</v>
      </c>
      <c r="L310" s="15">
        <v>193525</v>
      </c>
      <c r="M310" s="15" t="str">
        <f>"PGTEFT2768          ACC316057"</f>
        <v>PGTEFT2768          ACC316057</v>
      </c>
      <c r="O310" s="15">
        <v>1</v>
      </c>
    </row>
    <row r="311" spans="1:17" x14ac:dyDescent="0.25">
      <c r="A311" s="15">
        <v>8003879954</v>
      </c>
      <c r="B311" s="15">
        <v>19</v>
      </c>
      <c r="C311" s="15">
        <v>6122017</v>
      </c>
      <c r="D311" s="15">
        <v>489</v>
      </c>
      <c r="E311" s="15" t="str">
        <f>"OTHER TRANSFER FEE"</f>
        <v>OTHER TRANSFER FEE</v>
      </c>
      <c r="F311" s="15">
        <v>9938</v>
      </c>
      <c r="G311" s="15" t="str">
        <f>"23861499"</f>
        <v>23861499</v>
      </c>
      <c r="H311" s="14">
        <v>0.1</v>
      </c>
      <c r="I311" s="15" t="s">
        <v>28</v>
      </c>
      <c r="J311" s="14">
        <v>390515.6</v>
      </c>
      <c r="K311" s="15" t="s">
        <v>26</v>
      </c>
      <c r="L311" s="15">
        <v>193525</v>
      </c>
      <c r="M311" s="15" t="str">
        <f>"PGTEFT2768          ACC316057"</f>
        <v>PGTEFT2768          ACC316057</v>
      </c>
      <c r="O311" s="15">
        <v>1</v>
      </c>
    </row>
    <row r="312" spans="1:17" x14ac:dyDescent="0.25">
      <c r="A312" s="15">
        <v>8003879954</v>
      </c>
      <c r="B312" s="15">
        <v>18</v>
      </c>
      <c r="C312" s="15">
        <v>6122017</v>
      </c>
      <c r="D312" s="15">
        <v>341</v>
      </c>
      <c r="E312" s="15" t="str">
        <f>"TR IBG"</f>
        <v>TR IBG</v>
      </c>
      <c r="F312" s="15">
        <v>9938</v>
      </c>
      <c r="G312" s="15" t="str">
        <f>"23861657"</f>
        <v>23861657</v>
      </c>
      <c r="H312" s="14">
        <v>3100</v>
      </c>
      <c r="I312" s="15" t="s">
        <v>28</v>
      </c>
      <c r="J312" s="14">
        <v>390515.7</v>
      </c>
      <c r="K312" s="15" t="s">
        <v>26</v>
      </c>
      <c r="L312" s="15">
        <v>193525</v>
      </c>
      <c r="M312" s="15" t="str">
        <f>"CHING XING SPORTS AN"</f>
        <v>CHING XING SPORTS AN</v>
      </c>
      <c r="O312" s="15">
        <v>1</v>
      </c>
      <c r="P312" s="15" t="str">
        <f>"PGTEFT2766"</f>
        <v>PGTEFT2766</v>
      </c>
      <c r="Q312" s="15" t="str">
        <f>"13112017-01-PGT"</f>
        <v>13112017-01-PGT</v>
      </c>
    </row>
    <row r="313" spans="1:17" x14ac:dyDescent="0.25">
      <c r="A313" s="15">
        <v>8003879954</v>
      </c>
      <c r="B313" s="15">
        <v>17</v>
      </c>
      <c r="C313" s="15">
        <v>6122017</v>
      </c>
      <c r="D313" s="15">
        <v>299</v>
      </c>
      <c r="E313" s="15" t="str">
        <f>"GST"</f>
        <v>GST</v>
      </c>
      <c r="F313" s="15">
        <v>9938</v>
      </c>
      <c r="G313" s="15" t="str">
        <f>"23861657"</f>
        <v>23861657</v>
      </c>
      <c r="H313" s="14">
        <v>0.01</v>
      </c>
      <c r="I313" s="15" t="s">
        <v>28</v>
      </c>
      <c r="J313" s="14">
        <v>393615.7</v>
      </c>
      <c r="K313" s="15" t="s">
        <v>26</v>
      </c>
      <c r="L313" s="15">
        <v>193525</v>
      </c>
      <c r="M313" s="15" t="str">
        <f>"PGTEFT2766          13112017-01-PGT"</f>
        <v>PGTEFT2766          13112017-01-PGT</v>
      </c>
      <c r="O313" s="15">
        <v>1</v>
      </c>
    </row>
    <row r="314" spans="1:17" x14ac:dyDescent="0.25">
      <c r="A314" s="15">
        <v>8003879954</v>
      </c>
      <c r="B314" s="15">
        <v>16</v>
      </c>
      <c r="C314" s="15">
        <v>6122017</v>
      </c>
      <c r="D314" s="15">
        <v>489</v>
      </c>
      <c r="E314" s="15" t="str">
        <f>"OTHER TRANSFER FEE"</f>
        <v>OTHER TRANSFER FEE</v>
      </c>
      <c r="F314" s="15">
        <v>9938</v>
      </c>
      <c r="G314" s="15" t="str">
        <f>"23861657"</f>
        <v>23861657</v>
      </c>
      <c r="H314" s="14">
        <v>0.1</v>
      </c>
      <c r="I314" s="15" t="s">
        <v>28</v>
      </c>
      <c r="J314" s="14">
        <v>393615.71</v>
      </c>
      <c r="K314" s="15" t="s">
        <v>26</v>
      </c>
      <c r="L314" s="15">
        <v>193525</v>
      </c>
      <c r="M314" s="15" t="str">
        <f>"PGTEFT2766          13112017-01-PGT"</f>
        <v>PGTEFT2766          13112017-01-PGT</v>
      </c>
      <c r="O314" s="15">
        <v>1</v>
      </c>
    </row>
    <row r="315" spans="1:17" x14ac:dyDescent="0.25">
      <c r="A315" s="15">
        <v>8003879954</v>
      </c>
      <c r="B315" s="15">
        <v>15</v>
      </c>
      <c r="C315" s="15">
        <v>6122017</v>
      </c>
      <c r="D315" s="15">
        <v>341</v>
      </c>
      <c r="E315" s="15" t="str">
        <f>"TR IBG"</f>
        <v>TR IBG</v>
      </c>
      <c r="F315" s="15">
        <v>9938</v>
      </c>
      <c r="G315" s="15" t="str">
        <f>"23861207"</f>
        <v>23861207</v>
      </c>
      <c r="H315" s="14">
        <v>7420</v>
      </c>
      <c r="I315" s="15" t="s">
        <v>28</v>
      </c>
      <c r="J315" s="14">
        <v>393615.81</v>
      </c>
      <c r="K315" s="15" t="s">
        <v>26</v>
      </c>
      <c r="L315" s="15">
        <v>193523</v>
      </c>
      <c r="M315" s="15" t="str">
        <f>"OPTIMAL MEDIA SDN BH"</f>
        <v>OPTIMAL MEDIA SDN BH</v>
      </c>
      <c r="O315" s="15">
        <v>1</v>
      </c>
      <c r="P315" s="15" t="str">
        <f>"PGTEFT2772"</f>
        <v>PGTEFT2772</v>
      </c>
      <c r="Q315" s="15" t="str">
        <f>"INV362 368"</f>
        <v>INV362 368</v>
      </c>
    </row>
    <row r="316" spans="1:17" x14ac:dyDescent="0.25">
      <c r="A316" s="15">
        <v>8003879954</v>
      </c>
      <c r="B316" s="15">
        <v>14</v>
      </c>
      <c r="C316" s="15">
        <v>6122017</v>
      </c>
      <c r="D316" s="15">
        <v>299</v>
      </c>
      <c r="E316" s="15" t="str">
        <f>"GST"</f>
        <v>GST</v>
      </c>
      <c r="F316" s="15">
        <v>9938</v>
      </c>
      <c r="G316" s="15" t="str">
        <f>"23861207"</f>
        <v>23861207</v>
      </c>
      <c r="H316" s="14">
        <v>0.01</v>
      </c>
      <c r="I316" s="15" t="s">
        <v>28</v>
      </c>
      <c r="J316" s="14">
        <v>401035.81</v>
      </c>
      <c r="K316" s="15" t="s">
        <v>26</v>
      </c>
      <c r="L316" s="15">
        <v>193523</v>
      </c>
      <c r="M316" s="15" t="str">
        <f>"PGTEFT2772          INV362 368"</f>
        <v>PGTEFT2772          INV362 368</v>
      </c>
      <c r="O316" s="15">
        <v>1</v>
      </c>
    </row>
    <row r="317" spans="1:17" x14ac:dyDescent="0.25">
      <c r="A317" s="15">
        <v>8003879954</v>
      </c>
      <c r="B317" s="15">
        <v>13</v>
      </c>
      <c r="C317" s="15">
        <v>6122017</v>
      </c>
      <c r="D317" s="15">
        <v>489</v>
      </c>
      <c r="E317" s="15" t="str">
        <f>"OTHER TRANSFER FEE"</f>
        <v>OTHER TRANSFER FEE</v>
      </c>
      <c r="F317" s="15">
        <v>9938</v>
      </c>
      <c r="G317" s="15" t="str">
        <f>"23861207"</f>
        <v>23861207</v>
      </c>
      <c r="H317" s="14">
        <v>0.1</v>
      </c>
      <c r="I317" s="15" t="s">
        <v>28</v>
      </c>
      <c r="J317" s="14">
        <v>401035.82</v>
      </c>
      <c r="K317" s="15" t="s">
        <v>26</v>
      </c>
      <c r="L317" s="15">
        <v>193523</v>
      </c>
      <c r="M317" s="15" t="str">
        <f>"PGTEFT2772          INV362 368"</f>
        <v>PGTEFT2772          INV362 368</v>
      </c>
      <c r="O317" s="15">
        <v>1</v>
      </c>
    </row>
    <row r="318" spans="1:17" x14ac:dyDescent="0.25">
      <c r="A318" s="15">
        <v>8003879954</v>
      </c>
      <c r="B318" s="15">
        <v>12</v>
      </c>
      <c r="C318" s="15">
        <v>6122017</v>
      </c>
      <c r="D318" s="15">
        <v>341</v>
      </c>
      <c r="E318" s="15" t="str">
        <f>"TR IBG"</f>
        <v>TR IBG</v>
      </c>
      <c r="F318" s="15">
        <v>9938</v>
      </c>
      <c r="G318" s="15" t="str">
        <f>"23861882"</f>
        <v>23861882</v>
      </c>
      <c r="H318" s="14">
        <v>850</v>
      </c>
      <c r="I318" s="15" t="s">
        <v>28</v>
      </c>
      <c r="J318" s="14">
        <v>401035.92</v>
      </c>
      <c r="K318" s="15" t="s">
        <v>26</v>
      </c>
      <c r="L318" s="15">
        <v>193523</v>
      </c>
      <c r="M318" s="15" t="str">
        <f>"JAYKODI RESOURCES"</f>
        <v>JAYKODI RESOURCES</v>
      </c>
      <c r="O318" s="15">
        <v>1</v>
      </c>
      <c r="P318" s="15" t="str">
        <f>"PGTEFT2780"</f>
        <v>PGTEFT2780</v>
      </c>
      <c r="Q318" s="15" t="str">
        <f>"CLEANING"</f>
        <v>CLEANING</v>
      </c>
    </row>
    <row r="319" spans="1:17" x14ac:dyDescent="0.25">
      <c r="A319" s="15">
        <v>8003879954</v>
      </c>
      <c r="B319" s="15">
        <v>11</v>
      </c>
      <c r="C319" s="15">
        <v>6122017</v>
      </c>
      <c r="D319" s="15">
        <v>299</v>
      </c>
      <c r="E319" s="15" t="str">
        <f>"GST"</f>
        <v>GST</v>
      </c>
      <c r="F319" s="15">
        <v>9938</v>
      </c>
      <c r="G319" s="15" t="str">
        <f>"23861882"</f>
        <v>23861882</v>
      </c>
      <c r="H319" s="14">
        <v>0.01</v>
      </c>
      <c r="I319" s="15" t="s">
        <v>28</v>
      </c>
      <c r="J319" s="14">
        <v>401885.92</v>
      </c>
      <c r="K319" s="15" t="s">
        <v>26</v>
      </c>
      <c r="L319" s="15">
        <v>193523</v>
      </c>
      <c r="M319" s="15" t="str">
        <f>"PGTEFT2780          CLEANING"</f>
        <v>PGTEFT2780          CLEANING</v>
      </c>
      <c r="O319" s="15">
        <v>1</v>
      </c>
    </row>
    <row r="320" spans="1:17" x14ac:dyDescent="0.25">
      <c r="A320" s="15">
        <v>8003879954</v>
      </c>
      <c r="B320" s="15">
        <v>10</v>
      </c>
      <c r="C320" s="15">
        <v>6122017</v>
      </c>
      <c r="D320" s="15">
        <v>489</v>
      </c>
      <c r="E320" s="15" t="str">
        <f>"OTHER TRANSFER FEE"</f>
        <v>OTHER TRANSFER FEE</v>
      </c>
      <c r="F320" s="15">
        <v>9938</v>
      </c>
      <c r="G320" s="15" t="str">
        <f>"23861882"</f>
        <v>23861882</v>
      </c>
      <c r="H320" s="14">
        <v>0.1</v>
      </c>
      <c r="I320" s="15" t="s">
        <v>28</v>
      </c>
      <c r="J320" s="14">
        <v>401885.93</v>
      </c>
      <c r="K320" s="15" t="s">
        <v>26</v>
      </c>
      <c r="L320" s="15">
        <v>193523</v>
      </c>
      <c r="M320" s="15" t="str">
        <f>"PGTEFT2780          CLEANING"</f>
        <v>PGTEFT2780          CLEANING</v>
      </c>
      <c r="O320" s="15">
        <v>1</v>
      </c>
    </row>
    <row r="321" spans="1:17" x14ac:dyDescent="0.25">
      <c r="A321" s="15">
        <v>8003879954</v>
      </c>
      <c r="B321" s="15">
        <v>9</v>
      </c>
      <c r="C321" s="15">
        <v>6122017</v>
      </c>
      <c r="D321" s="15">
        <v>341</v>
      </c>
      <c r="E321" s="15" t="str">
        <f>"TR IBG"</f>
        <v>TR IBG</v>
      </c>
      <c r="F321" s="15">
        <v>9938</v>
      </c>
      <c r="G321" s="15" t="str">
        <f>"23861414"</f>
        <v>23861414</v>
      </c>
      <c r="H321" s="14">
        <v>90</v>
      </c>
      <c r="I321" s="15" t="s">
        <v>28</v>
      </c>
      <c r="J321" s="14">
        <v>401886.03</v>
      </c>
      <c r="K321" s="15" t="s">
        <v>26</v>
      </c>
      <c r="L321" s="15">
        <v>193523</v>
      </c>
      <c r="M321" s="15" t="str">
        <f>"LIANG CHOW MING"</f>
        <v>LIANG CHOW MING</v>
      </c>
      <c r="O321" s="15">
        <v>1</v>
      </c>
      <c r="P321" s="15" t="str">
        <f>"PGTEF2769"</f>
        <v>PGTEF2769</v>
      </c>
      <c r="Q321" s="15" t="str">
        <f>"INV19540"</f>
        <v>INV19540</v>
      </c>
    </row>
    <row r="322" spans="1:17" x14ac:dyDescent="0.25">
      <c r="A322" s="15">
        <v>8003879954</v>
      </c>
      <c r="B322" s="15">
        <v>8</v>
      </c>
      <c r="C322" s="15">
        <v>6122017</v>
      </c>
      <c r="D322" s="15">
        <v>299</v>
      </c>
      <c r="E322" s="15" t="str">
        <f>"GST"</f>
        <v>GST</v>
      </c>
      <c r="F322" s="15">
        <v>9938</v>
      </c>
      <c r="G322" s="15" t="str">
        <f>"23861414"</f>
        <v>23861414</v>
      </c>
      <c r="H322" s="14">
        <v>0.01</v>
      </c>
      <c r="I322" s="15" t="s">
        <v>28</v>
      </c>
      <c r="J322" s="14">
        <v>401976.03</v>
      </c>
      <c r="K322" s="15" t="s">
        <v>26</v>
      </c>
      <c r="L322" s="15">
        <v>193523</v>
      </c>
      <c r="M322" s="15" t="str">
        <f>"PGTEF2769           INV19540"</f>
        <v>PGTEF2769           INV19540</v>
      </c>
      <c r="O322" s="15">
        <v>1</v>
      </c>
    </row>
    <row r="323" spans="1:17" x14ac:dyDescent="0.25">
      <c r="A323" s="15">
        <v>8003879954</v>
      </c>
      <c r="B323" s="15">
        <v>7</v>
      </c>
      <c r="C323" s="15">
        <v>6122017</v>
      </c>
      <c r="D323" s="15">
        <v>489</v>
      </c>
      <c r="E323" s="15" t="str">
        <f>"OTHER TRANSFER FEE"</f>
        <v>OTHER TRANSFER FEE</v>
      </c>
      <c r="F323" s="15">
        <v>9938</v>
      </c>
      <c r="G323" s="15" t="str">
        <f>"23861414"</f>
        <v>23861414</v>
      </c>
      <c r="H323" s="14">
        <v>0.1</v>
      </c>
      <c r="I323" s="15" t="s">
        <v>28</v>
      </c>
      <c r="J323" s="14">
        <v>401976.04</v>
      </c>
      <c r="K323" s="15" t="s">
        <v>26</v>
      </c>
      <c r="L323" s="15">
        <v>193523</v>
      </c>
      <c r="M323" s="15" t="str">
        <f>"PGTEF2769           INV19540"</f>
        <v>PGTEF2769           INV19540</v>
      </c>
      <c r="O323" s="15">
        <v>1</v>
      </c>
    </row>
    <row r="324" spans="1:17" x14ac:dyDescent="0.25">
      <c r="A324" s="15">
        <v>8003879954</v>
      </c>
      <c r="B324" s="15">
        <v>6</v>
      </c>
      <c r="C324" s="15">
        <v>6122017</v>
      </c>
      <c r="D324" s="15">
        <v>341</v>
      </c>
      <c r="E324" s="15" t="str">
        <f>"TR IBG"</f>
        <v>TR IBG</v>
      </c>
      <c r="F324" s="15">
        <v>9938</v>
      </c>
      <c r="G324" s="15" t="str">
        <f>"23861728"</f>
        <v>23861728</v>
      </c>
      <c r="H324" s="14">
        <v>4240</v>
      </c>
      <c r="I324" s="15" t="s">
        <v>28</v>
      </c>
      <c r="J324" s="14">
        <v>401976.14</v>
      </c>
      <c r="K324" s="15" t="s">
        <v>26</v>
      </c>
      <c r="L324" s="15">
        <v>193523</v>
      </c>
      <c r="M324" s="15" t="str">
        <f>"BOLD INSPIRATION SDN"</f>
        <v>BOLD INSPIRATION SDN</v>
      </c>
      <c r="O324" s="15">
        <v>1</v>
      </c>
      <c r="P324" s="15" t="str">
        <f>"PGTEFT2765"</f>
        <v>PGTEFT2765</v>
      </c>
      <c r="Q324" s="15" t="str">
        <f>"JN0353"</f>
        <v>JN0353</v>
      </c>
    </row>
    <row r="325" spans="1:17" x14ac:dyDescent="0.25">
      <c r="A325" s="15">
        <v>8003879954</v>
      </c>
      <c r="B325" s="15">
        <v>5</v>
      </c>
      <c r="C325" s="15">
        <v>6122017</v>
      </c>
      <c r="D325" s="15">
        <v>299</v>
      </c>
      <c r="E325" s="15" t="str">
        <f>"GST"</f>
        <v>GST</v>
      </c>
      <c r="F325" s="15">
        <v>9938</v>
      </c>
      <c r="G325" s="15" t="str">
        <f>"23861728"</f>
        <v>23861728</v>
      </c>
      <c r="H325" s="14">
        <v>0.01</v>
      </c>
      <c r="I325" s="15" t="s">
        <v>28</v>
      </c>
      <c r="J325" s="14">
        <v>406216.14</v>
      </c>
      <c r="K325" s="15" t="s">
        <v>26</v>
      </c>
      <c r="L325" s="15">
        <v>193523</v>
      </c>
      <c r="M325" s="15" t="str">
        <f>"PGTEFT2765          JN0353"</f>
        <v>PGTEFT2765          JN0353</v>
      </c>
      <c r="O325" s="15">
        <v>1</v>
      </c>
    </row>
    <row r="326" spans="1:17" x14ac:dyDescent="0.25">
      <c r="A326" s="15">
        <v>8003879954</v>
      </c>
      <c r="B326" s="15">
        <v>4</v>
      </c>
      <c r="C326" s="15">
        <v>6122017</v>
      </c>
      <c r="D326" s="15">
        <v>489</v>
      </c>
      <c r="E326" s="15" t="str">
        <f>"OTHER TRANSFER FEE"</f>
        <v>OTHER TRANSFER FEE</v>
      </c>
      <c r="F326" s="15">
        <v>9938</v>
      </c>
      <c r="G326" s="15" t="str">
        <f>"23861728"</f>
        <v>23861728</v>
      </c>
      <c r="H326" s="14">
        <v>0.1</v>
      </c>
      <c r="I326" s="15" t="s">
        <v>28</v>
      </c>
      <c r="J326" s="14">
        <v>406216.15</v>
      </c>
      <c r="K326" s="15" t="s">
        <v>26</v>
      </c>
      <c r="L326" s="15">
        <v>193523</v>
      </c>
      <c r="M326" s="15" t="str">
        <f>"PGTEFT2765          JN0353"</f>
        <v>PGTEFT2765          JN0353</v>
      </c>
      <c r="O326" s="15">
        <v>1</v>
      </c>
    </row>
    <row r="327" spans="1:17" x14ac:dyDescent="0.25">
      <c r="A327" s="15">
        <v>8003879954</v>
      </c>
      <c r="B327" s="15">
        <v>3</v>
      </c>
      <c r="C327" s="15">
        <v>6122017</v>
      </c>
      <c r="D327" s="15">
        <v>341</v>
      </c>
      <c r="E327" s="15" t="str">
        <f>"TR IBG"</f>
        <v>TR IBG</v>
      </c>
      <c r="F327" s="15">
        <v>9938</v>
      </c>
      <c r="G327" s="15" t="str">
        <f>"23861584"</f>
        <v>23861584</v>
      </c>
      <c r="H327" s="14">
        <v>360</v>
      </c>
      <c r="I327" s="15" t="s">
        <v>28</v>
      </c>
      <c r="J327" s="14">
        <v>406216.25</v>
      </c>
      <c r="K327" s="15" t="s">
        <v>26</v>
      </c>
      <c r="L327" s="15">
        <v>193523</v>
      </c>
      <c r="M327" s="15" t="str">
        <f>"ET HOSPITALITY VENTU"</f>
        <v>ET HOSPITALITY VENTU</v>
      </c>
      <c r="O327" s="15">
        <v>1</v>
      </c>
      <c r="P327" s="15" t="str">
        <f>"PGTEFT2767"</f>
        <v>PGTEFT2767</v>
      </c>
      <c r="Q327" s="15" t="str">
        <f>"12017GST2515"</f>
        <v>12017GST2515</v>
      </c>
    </row>
    <row r="328" spans="1:17" x14ac:dyDescent="0.25">
      <c r="A328" s="15">
        <v>8003879954</v>
      </c>
      <c r="B328" s="15">
        <v>2</v>
      </c>
      <c r="C328" s="15">
        <v>6122017</v>
      </c>
      <c r="D328" s="15">
        <v>299</v>
      </c>
      <c r="E328" s="15" t="str">
        <f>"GST"</f>
        <v>GST</v>
      </c>
      <c r="F328" s="15">
        <v>9938</v>
      </c>
      <c r="G328" s="15" t="str">
        <f>"23861584"</f>
        <v>23861584</v>
      </c>
      <c r="H328" s="14">
        <v>0.01</v>
      </c>
      <c r="I328" s="15" t="s">
        <v>28</v>
      </c>
      <c r="J328" s="14">
        <v>406576.25</v>
      </c>
      <c r="K328" s="15" t="s">
        <v>26</v>
      </c>
      <c r="L328" s="15">
        <v>193523</v>
      </c>
      <c r="M328" s="15" t="str">
        <f>"PGTEFT2767          12017GST2515"</f>
        <v>PGTEFT2767          12017GST2515</v>
      </c>
      <c r="O328" s="15">
        <v>1</v>
      </c>
    </row>
    <row r="329" spans="1:17" x14ac:dyDescent="0.25">
      <c r="A329" s="15">
        <v>8003879954</v>
      </c>
      <c r="B329" s="15">
        <v>1</v>
      </c>
      <c r="C329" s="15">
        <v>6122017</v>
      </c>
      <c r="D329" s="15">
        <v>489</v>
      </c>
      <c r="E329" s="15" t="str">
        <f>"OTHER TRANSFER FEE"</f>
        <v>OTHER TRANSFER FEE</v>
      </c>
      <c r="F329" s="15">
        <v>9938</v>
      </c>
      <c r="G329" s="15" t="str">
        <f>"23861584"</f>
        <v>23861584</v>
      </c>
      <c r="H329" s="14">
        <v>0.1</v>
      </c>
      <c r="I329" s="15" t="s">
        <v>28</v>
      </c>
      <c r="J329" s="14">
        <v>406576.26</v>
      </c>
      <c r="K329" s="15" t="s">
        <v>26</v>
      </c>
      <c r="L329" s="15">
        <v>193523</v>
      </c>
      <c r="M329" s="15" t="str">
        <f>"PGTEFT2767          12017GST2515"</f>
        <v>PGTEFT2767          12017GST2515</v>
      </c>
      <c r="O329" s="15">
        <v>1</v>
      </c>
    </row>
    <row r="330" spans="1:17" x14ac:dyDescent="0.25">
      <c r="A330" s="15">
        <v>8003879954</v>
      </c>
      <c r="B330" s="15">
        <v>11</v>
      </c>
      <c r="C330" s="15">
        <v>5122017</v>
      </c>
      <c r="D330" s="15">
        <v>299</v>
      </c>
      <c r="E330" s="15" t="str">
        <f>"GST"</f>
        <v>GST</v>
      </c>
      <c r="H330" s="14">
        <v>0.15</v>
      </c>
      <c r="I330" s="15" t="s">
        <v>28</v>
      </c>
      <c r="J330" s="14">
        <v>406576.36</v>
      </c>
      <c r="K330" s="15" t="s">
        <v>26</v>
      </c>
      <c r="L330" s="15">
        <v>10110</v>
      </c>
      <c r="M330" s="15" t="str">
        <f>""</f>
        <v/>
      </c>
      <c r="O330" s="15">
        <v>1</v>
      </c>
    </row>
    <row r="331" spans="1:17" x14ac:dyDescent="0.25">
      <c r="A331" s="15">
        <v>8003879954</v>
      </c>
      <c r="B331" s="15">
        <v>10</v>
      </c>
      <c r="C331" s="15">
        <v>5122017</v>
      </c>
      <c r="D331" s="15">
        <v>819</v>
      </c>
      <c r="E331" s="15" t="str">
        <f>"CHQ PROCESSING FEE"</f>
        <v>CHQ PROCESSING FEE</v>
      </c>
      <c r="H331" s="14">
        <v>2.5</v>
      </c>
      <c r="I331" s="15" t="s">
        <v>28</v>
      </c>
      <c r="J331" s="14">
        <v>406576.51</v>
      </c>
      <c r="K331" s="15" t="s">
        <v>26</v>
      </c>
      <c r="L331" s="15">
        <v>10110</v>
      </c>
      <c r="M331" s="15" t="str">
        <f>""</f>
        <v/>
      </c>
      <c r="O331" s="15">
        <v>1</v>
      </c>
    </row>
    <row r="332" spans="1:17" x14ac:dyDescent="0.25">
      <c r="A332" s="15">
        <v>8003879954</v>
      </c>
      <c r="B332" s="15">
        <v>9</v>
      </c>
      <c r="C332" s="15">
        <v>5122017</v>
      </c>
      <c r="D332" s="15">
        <v>323</v>
      </c>
      <c r="E332" s="15" t="str">
        <f>"CLRG CHQ DR"</f>
        <v>CLRG CHQ DR</v>
      </c>
      <c r="F332" s="15">
        <v>0</v>
      </c>
      <c r="G332" s="15" t="str">
        <f>"00688075"</f>
        <v>00688075</v>
      </c>
      <c r="H332" s="14">
        <v>22208</v>
      </c>
      <c r="I332" s="15" t="s">
        <v>28</v>
      </c>
      <c r="J332" s="14">
        <v>406579.01</v>
      </c>
      <c r="K332" s="15" t="s">
        <v>26</v>
      </c>
      <c r="L332" s="15">
        <v>10015</v>
      </c>
      <c r="M332" s="15" t="str">
        <f>""</f>
        <v/>
      </c>
      <c r="O332" s="15">
        <v>1</v>
      </c>
    </row>
    <row r="333" spans="1:17" x14ac:dyDescent="0.25">
      <c r="A333" s="15">
        <v>8003879954</v>
      </c>
      <c r="B333" s="15">
        <v>8</v>
      </c>
      <c r="C333" s="15">
        <v>5122017</v>
      </c>
      <c r="D333" s="15">
        <v>323</v>
      </c>
      <c r="E333" s="15" t="str">
        <f>"CLRG CHQ DR"</f>
        <v>CLRG CHQ DR</v>
      </c>
      <c r="F333" s="15">
        <v>0</v>
      </c>
      <c r="G333" s="15" t="str">
        <f>"00688074"</f>
        <v>00688074</v>
      </c>
      <c r="H333" s="14">
        <v>21889</v>
      </c>
      <c r="I333" s="15" t="s">
        <v>28</v>
      </c>
      <c r="J333" s="14">
        <v>428787.01</v>
      </c>
      <c r="K333" s="15" t="s">
        <v>26</v>
      </c>
      <c r="L333" s="15">
        <v>10015</v>
      </c>
      <c r="M333" s="15" t="str">
        <f>""</f>
        <v/>
      </c>
      <c r="O333" s="15">
        <v>1</v>
      </c>
    </row>
    <row r="334" spans="1:17" x14ac:dyDescent="0.25">
      <c r="A334" s="15">
        <v>8003879954</v>
      </c>
      <c r="B334" s="15">
        <v>7</v>
      </c>
      <c r="C334" s="15">
        <v>5122017</v>
      </c>
      <c r="D334" s="15">
        <v>323</v>
      </c>
      <c r="E334" s="15" t="str">
        <f>"CLRG CHQ DR"</f>
        <v>CLRG CHQ DR</v>
      </c>
      <c r="F334" s="15">
        <v>0</v>
      </c>
      <c r="G334" s="15" t="str">
        <f>"00688073"</f>
        <v>00688073</v>
      </c>
      <c r="H334" s="14">
        <v>47419.59</v>
      </c>
      <c r="I334" s="15" t="s">
        <v>28</v>
      </c>
      <c r="J334" s="14">
        <v>450676.01</v>
      </c>
      <c r="K334" s="15" t="s">
        <v>26</v>
      </c>
      <c r="L334" s="15">
        <v>10015</v>
      </c>
      <c r="M334" s="15" t="str">
        <f>""</f>
        <v/>
      </c>
      <c r="O334" s="15">
        <v>1</v>
      </c>
    </row>
    <row r="335" spans="1:17" x14ac:dyDescent="0.25">
      <c r="A335" s="15">
        <v>8003879954</v>
      </c>
      <c r="B335" s="15">
        <v>6</v>
      </c>
      <c r="C335" s="15">
        <v>5122017</v>
      </c>
      <c r="D335" s="15">
        <v>323</v>
      </c>
      <c r="E335" s="15" t="str">
        <f>"CLRG CHQ DR"</f>
        <v>CLRG CHQ DR</v>
      </c>
      <c r="F335" s="15">
        <v>0</v>
      </c>
      <c r="G335" s="15" t="str">
        <f>"00688072"</f>
        <v>00688072</v>
      </c>
      <c r="H335" s="14">
        <v>21920.799999999999</v>
      </c>
      <c r="I335" s="15" t="s">
        <v>28</v>
      </c>
      <c r="J335" s="14">
        <v>498095.6</v>
      </c>
      <c r="K335" s="15" t="s">
        <v>26</v>
      </c>
      <c r="L335" s="15">
        <v>10015</v>
      </c>
      <c r="M335" s="15" t="str">
        <f>""</f>
        <v/>
      </c>
      <c r="O335" s="15">
        <v>1</v>
      </c>
    </row>
    <row r="336" spans="1:17" x14ac:dyDescent="0.25">
      <c r="A336" s="15">
        <v>8003879954</v>
      </c>
      <c r="B336" s="15">
        <v>5</v>
      </c>
      <c r="C336" s="15">
        <v>5122017</v>
      </c>
      <c r="D336" s="15">
        <v>323</v>
      </c>
      <c r="E336" s="15" t="str">
        <f>"CLRG CHQ DR"</f>
        <v>CLRG CHQ DR</v>
      </c>
      <c r="F336" s="15">
        <v>0</v>
      </c>
      <c r="G336" s="15" t="str">
        <f>"00688071"</f>
        <v>00688071</v>
      </c>
      <c r="H336" s="14">
        <v>20438.919999999998</v>
      </c>
      <c r="I336" s="15" t="s">
        <v>28</v>
      </c>
      <c r="J336" s="14">
        <v>520016.4</v>
      </c>
      <c r="K336" s="15" t="s">
        <v>26</v>
      </c>
      <c r="L336" s="15">
        <v>10015</v>
      </c>
      <c r="M336" s="15" t="str">
        <f>""</f>
        <v/>
      </c>
      <c r="O336" s="15">
        <v>1</v>
      </c>
    </row>
    <row r="337" spans="1:17" x14ac:dyDescent="0.25">
      <c r="A337" s="15">
        <v>8003879954</v>
      </c>
      <c r="B337" s="15">
        <v>4</v>
      </c>
      <c r="C337" s="15">
        <v>5122017</v>
      </c>
      <c r="D337" s="15">
        <v>60</v>
      </c>
      <c r="E337" s="15" t="str">
        <f>"TR TO C/A"</f>
        <v>TR TO C/A</v>
      </c>
      <c r="F337" s="15">
        <v>9938</v>
      </c>
      <c r="G337" s="15" t="str">
        <f>"23791017"</f>
        <v>23791017</v>
      </c>
      <c r="H337" s="14">
        <v>306</v>
      </c>
      <c r="I337" s="15" t="s">
        <v>28</v>
      </c>
      <c r="J337" s="14">
        <v>540455.31999999995</v>
      </c>
      <c r="K337" s="15" t="s">
        <v>26</v>
      </c>
      <c r="L337" s="15">
        <v>132926</v>
      </c>
      <c r="M337" s="15" t="str">
        <f>"ANSURAN 11 YE2017 AKAUN KJAAN MSIA PU"</f>
        <v>ANSURAN 11 YE2017 AKAUN KJAAN MSIA PU</v>
      </c>
      <c r="O337" s="15">
        <v>1</v>
      </c>
      <c r="P337" s="15" t="str">
        <f>"PGTEFT2778"</f>
        <v>PGTEFT2778</v>
      </c>
      <c r="Q337" s="15" t="str">
        <f>"C285195105"</f>
        <v>C285195105</v>
      </c>
    </row>
    <row r="338" spans="1:17" x14ac:dyDescent="0.25">
      <c r="A338" s="15">
        <v>8003879954</v>
      </c>
      <c r="B338" s="15">
        <v>3</v>
      </c>
      <c r="C338" s="15">
        <v>5122017</v>
      </c>
      <c r="D338" s="15">
        <v>341</v>
      </c>
      <c r="E338" s="15" t="str">
        <f>"TR IBG"</f>
        <v>TR IBG</v>
      </c>
      <c r="F338" s="15">
        <v>9938</v>
      </c>
      <c r="G338" s="15" t="str">
        <f>"23791085"</f>
        <v>23791085</v>
      </c>
      <c r="H338" s="14">
        <v>2500</v>
      </c>
      <c r="I338" s="15" t="s">
        <v>28</v>
      </c>
      <c r="J338" s="14">
        <v>540761.31999999995</v>
      </c>
      <c r="K338" s="15" t="s">
        <v>26</v>
      </c>
      <c r="L338" s="15">
        <v>132925</v>
      </c>
      <c r="M338" s="15" t="str">
        <f>"OON KOK EU"</f>
        <v>OON KOK EU</v>
      </c>
      <c r="O338" s="15">
        <v>1</v>
      </c>
      <c r="P338" s="15" t="str">
        <f>"PGTEFT2779"</f>
        <v>PGTEFT2779</v>
      </c>
      <c r="Q338" s="15" t="str">
        <f>"BROCHURE DISTRIBUTIO"</f>
        <v>BROCHURE DISTRIBUTIO</v>
      </c>
    </row>
    <row r="339" spans="1:17" x14ac:dyDescent="0.25">
      <c r="A339" s="15">
        <v>8003879954</v>
      </c>
      <c r="B339" s="15">
        <v>2</v>
      </c>
      <c r="C339" s="15">
        <v>5122017</v>
      </c>
      <c r="D339" s="15">
        <v>299</v>
      </c>
      <c r="E339" s="15" t="str">
        <f>"GST"</f>
        <v>GST</v>
      </c>
      <c r="F339" s="15">
        <v>9938</v>
      </c>
      <c r="G339" s="15" t="str">
        <f>"23791085"</f>
        <v>23791085</v>
      </c>
      <c r="H339" s="14">
        <v>0.01</v>
      </c>
      <c r="I339" s="15" t="s">
        <v>28</v>
      </c>
      <c r="J339" s="14">
        <v>543261.31999999995</v>
      </c>
      <c r="K339" s="15" t="s">
        <v>26</v>
      </c>
      <c r="L339" s="15">
        <v>132925</v>
      </c>
      <c r="M339" s="15" t="str">
        <f>"PGTEFT2779          BROCHURE DISTRIBUTIO"</f>
        <v>PGTEFT2779          BROCHURE DISTRIBUTIO</v>
      </c>
      <c r="O339" s="15">
        <v>1</v>
      </c>
    </row>
    <row r="340" spans="1:17" x14ac:dyDescent="0.25">
      <c r="A340" s="15">
        <v>8003879954</v>
      </c>
      <c r="B340" s="15">
        <v>1</v>
      </c>
      <c r="C340" s="15">
        <v>5122017</v>
      </c>
      <c r="D340" s="15">
        <v>489</v>
      </c>
      <c r="E340" s="15" t="str">
        <f>"OTHER TRANSFER FEE"</f>
        <v>OTHER TRANSFER FEE</v>
      </c>
      <c r="F340" s="15">
        <v>9938</v>
      </c>
      <c r="G340" s="15" t="str">
        <f>"23791085"</f>
        <v>23791085</v>
      </c>
      <c r="H340" s="14">
        <v>0.1</v>
      </c>
      <c r="I340" s="15" t="s">
        <v>28</v>
      </c>
      <c r="J340" s="14">
        <v>543261.32999999996</v>
      </c>
      <c r="K340" s="15" t="s">
        <v>26</v>
      </c>
      <c r="L340" s="15">
        <v>132925</v>
      </c>
      <c r="M340" s="15" t="str">
        <f>"PGTEFT2779          BROCHURE DISTRIBUTIO"</f>
        <v>PGTEFT2779          BROCHURE DISTRIBUTIO</v>
      </c>
      <c r="O340" s="15">
        <v>1</v>
      </c>
    </row>
    <row r="341" spans="1:17" x14ac:dyDescent="0.25">
      <c r="A341" s="15">
        <v>8003879954</v>
      </c>
      <c r="B341" s="15">
        <v>3</v>
      </c>
      <c r="C341" s="15">
        <v>4122017</v>
      </c>
      <c r="D341" s="15">
        <v>299</v>
      </c>
      <c r="E341" s="15" t="str">
        <f>"GST"</f>
        <v>GST</v>
      </c>
      <c r="H341" s="14">
        <v>0.03</v>
      </c>
      <c r="I341" s="15" t="s">
        <v>28</v>
      </c>
      <c r="J341" s="14">
        <v>543261.43000000005</v>
      </c>
      <c r="K341" s="15" t="s">
        <v>26</v>
      </c>
      <c r="L341" s="15">
        <v>10147</v>
      </c>
      <c r="M341" s="15" t="str">
        <f>""</f>
        <v/>
      </c>
      <c r="O341" s="15">
        <v>1</v>
      </c>
    </row>
    <row r="342" spans="1:17" x14ac:dyDescent="0.25">
      <c r="A342" s="15">
        <v>8003879954</v>
      </c>
      <c r="B342" s="15">
        <v>2</v>
      </c>
      <c r="C342" s="15">
        <v>4122017</v>
      </c>
      <c r="D342" s="15">
        <v>819</v>
      </c>
      <c r="E342" s="15" t="str">
        <f>"CHQ PROCESSING FEE"</f>
        <v>CHQ PROCESSING FEE</v>
      </c>
      <c r="H342" s="14">
        <v>0.5</v>
      </c>
      <c r="I342" s="15" t="s">
        <v>28</v>
      </c>
      <c r="J342" s="14">
        <v>543261.46</v>
      </c>
      <c r="K342" s="15" t="s">
        <v>26</v>
      </c>
      <c r="L342" s="15">
        <v>10147</v>
      </c>
      <c r="M342" s="15" t="str">
        <f>""</f>
        <v/>
      </c>
      <c r="O342" s="15">
        <v>1</v>
      </c>
    </row>
    <row r="343" spans="1:17" x14ac:dyDescent="0.25">
      <c r="A343" s="15">
        <v>8003879954</v>
      </c>
      <c r="B343" s="15">
        <v>1</v>
      </c>
      <c r="C343" s="15">
        <v>4122017</v>
      </c>
      <c r="D343" s="15">
        <v>321</v>
      </c>
      <c r="E343" s="15" t="str">
        <f>"HOUSE CHQ DR"</f>
        <v>HOUSE CHQ DR</v>
      </c>
      <c r="F343" s="15">
        <v>0</v>
      </c>
      <c r="G343" s="15" t="str">
        <f>"00688077"</f>
        <v>00688077</v>
      </c>
      <c r="H343" s="14">
        <v>4716.95</v>
      </c>
      <c r="I343" s="15" t="s">
        <v>28</v>
      </c>
      <c r="J343" s="14">
        <v>543261.96</v>
      </c>
      <c r="K343" s="15" t="s">
        <v>26</v>
      </c>
      <c r="L343" s="15">
        <v>5820</v>
      </c>
      <c r="M343" s="15" t="str">
        <f>""</f>
        <v/>
      </c>
      <c r="O343" s="15">
        <v>1</v>
      </c>
    </row>
    <row r="346" spans="1:17" x14ac:dyDescent="0.25">
      <c r="H346" s="14">
        <f>SUBTOTAL(9,H11:H345)</f>
        <v>1457278.2000000011</v>
      </c>
    </row>
  </sheetData>
  <autoFilter ref="A9:Q34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3"/>
  <sheetViews>
    <sheetView topLeftCell="A4" workbookViewId="0">
      <selection activeCell="D7" sqref="D7"/>
    </sheetView>
  </sheetViews>
  <sheetFormatPr defaultRowHeight="15" x14ac:dyDescent="0.25"/>
  <cols>
    <col min="1" max="1" width="14" customWidth="1"/>
    <col min="5" max="5" width="23" customWidth="1"/>
    <col min="7" max="7" width="12.85546875" style="3" customWidth="1"/>
    <col min="8" max="8" width="13.28515625" style="1" customWidth="1"/>
    <col min="9" max="9" width="9.140625" style="1"/>
    <col min="10" max="10" width="13.28515625" style="1" customWidth="1"/>
    <col min="13" max="13" width="43.140625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4</v>
      </c>
    </row>
    <row r="5" spans="1:18" x14ac:dyDescent="0.25">
      <c r="A5" t="s">
        <v>5</v>
      </c>
    </row>
    <row r="6" spans="1:18" x14ac:dyDescent="0.25">
      <c r="A6" t="s">
        <v>6</v>
      </c>
    </row>
    <row r="7" spans="1:18" x14ac:dyDescent="0.25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s="3" t="s">
        <v>13</v>
      </c>
      <c r="H7" s="1" t="s">
        <v>14</v>
      </c>
      <c r="I7" s="1" t="s">
        <v>15</v>
      </c>
      <c r="J7" s="1" t="s">
        <v>16</v>
      </c>
      <c r="K7" t="s">
        <v>17</v>
      </c>
      <c r="L7" t="s">
        <v>18</v>
      </c>
      <c r="M7" t="s">
        <v>19</v>
      </c>
      <c r="N7" t="s">
        <v>20</v>
      </c>
      <c r="O7" t="s">
        <v>21</v>
      </c>
      <c r="P7" t="s">
        <v>22</v>
      </c>
      <c r="Q7" t="s">
        <v>23</v>
      </c>
      <c r="R7" t="s">
        <v>24</v>
      </c>
    </row>
    <row r="8" spans="1:18" x14ac:dyDescent="0.25">
      <c r="A8">
        <v>8003879954</v>
      </c>
      <c r="B8">
        <v>3</v>
      </c>
      <c r="C8">
        <v>30042017</v>
      </c>
      <c r="D8">
        <v>299</v>
      </c>
      <c r="E8" t="s">
        <v>30</v>
      </c>
      <c r="F8">
        <v>2001</v>
      </c>
      <c r="G8">
        <v>98996208</v>
      </c>
      <c r="H8" s="1">
        <v>2.0699999999999998</v>
      </c>
      <c r="I8" t="s">
        <v>28</v>
      </c>
      <c r="J8" s="1">
        <v>258740.14</v>
      </c>
      <c r="K8" t="s">
        <v>26</v>
      </c>
      <c r="L8">
        <v>70113</v>
      </c>
      <c r="M8" t="str">
        <f>"98996208"</f>
        <v>98996208</v>
      </c>
      <c r="O8">
        <v>1</v>
      </c>
    </row>
    <row r="9" spans="1:18" x14ac:dyDescent="0.25">
      <c r="A9">
        <v>8003879954</v>
      </c>
      <c r="B9">
        <v>2</v>
      </c>
      <c r="C9">
        <v>30042017</v>
      </c>
      <c r="D9">
        <v>489</v>
      </c>
      <c r="E9" t="s">
        <v>136</v>
      </c>
      <c r="F9">
        <v>2001</v>
      </c>
      <c r="G9">
        <v>98996208</v>
      </c>
      <c r="H9" s="4">
        <v>34.5</v>
      </c>
      <c r="I9" t="s">
        <v>28</v>
      </c>
      <c r="J9" s="1">
        <v>258742.21</v>
      </c>
      <c r="K9" t="s">
        <v>26</v>
      </c>
      <c r="L9">
        <v>70113</v>
      </c>
      <c r="M9" t="str">
        <f>"98996208"</f>
        <v>98996208</v>
      </c>
      <c r="O9">
        <v>1</v>
      </c>
    </row>
    <row r="10" spans="1:18" x14ac:dyDescent="0.25">
      <c r="A10">
        <v>8003879954</v>
      </c>
      <c r="B10">
        <v>1</v>
      </c>
      <c r="C10">
        <v>30042017</v>
      </c>
      <c r="D10">
        <v>341</v>
      </c>
      <c r="E10" t="s">
        <v>51</v>
      </c>
      <c r="F10">
        <v>2001</v>
      </c>
      <c r="G10">
        <v>98006208</v>
      </c>
      <c r="H10" s="1">
        <v>79551.22</v>
      </c>
      <c r="I10" t="s">
        <v>28</v>
      </c>
      <c r="J10" s="1">
        <v>258776.71</v>
      </c>
      <c r="K10" t="s">
        <v>26</v>
      </c>
      <c r="L10">
        <v>70107</v>
      </c>
      <c r="M10" t="str">
        <f>"98006208"</f>
        <v>98006208</v>
      </c>
      <c r="O10">
        <v>1</v>
      </c>
      <c r="Q10" t="str">
        <f>"Bulk Payment"</f>
        <v>Bulk Payment</v>
      </c>
    </row>
    <row r="11" spans="1:18" x14ac:dyDescent="0.25">
      <c r="A11">
        <v>8003879954</v>
      </c>
      <c r="B11">
        <v>2</v>
      </c>
      <c r="C11">
        <v>28042017</v>
      </c>
      <c r="D11">
        <v>5</v>
      </c>
      <c r="E11" t="s">
        <v>42</v>
      </c>
      <c r="G11"/>
      <c r="H11" s="1">
        <v>130000</v>
      </c>
      <c r="I11" t="s">
        <v>26</v>
      </c>
      <c r="J11" s="1">
        <v>338327.93</v>
      </c>
      <c r="K11" t="s">
        <v>26</v>
      </c>
      <c r="L11">
        <v>155155</v>
      </c>
      <c r="M11" t="str">
        <f>"/ROC/KLMP0015051 RHB ASSET MANAGEMENT SD"</f>
        <v>/ROC/KLMP0015051 RHB ASSET MANAGEMENT SD</v>
      </c>
      <c r="O11">
        <v>1</v>
      </c>
      <c r="P11" t="str">
        <f>"KLMP0015051"</f>
        <v>KLMP0015051</v>
      </c>
      <c r="Q11" t="str">
        <f>"RESIDENT"</f>
        <v>RESIDENT</v>
      </c>
      <c r="R11" t="str">
        <f>"RHB ASSET MANAGEMENT"</f>
        <v>RHB ASSET MANAGEMENT</v>
      </c>
    </row>
    <row r="12" spans="1:18" x14ac:dyDescent="0.25">
      <c r="A12">
        <v>8003879954</v>
      </c>
      <c r="B12">
        <v>1</v>
      </c>
      <c r="C12">
        <v>28042017</v>
      </c>
      <c r="D12">
        <v>5</v>
      </c>
      <c r="E12" t="s">
        <v>42</v>
      </c>
      <c r="G12"/>
      <c r="H12" s="1">
        <v>97251.53</v>
      </c>
      <c r="I12" t="s">
        <v>26</v>
      </c>
      <c r="J12" s="1">
        <v>208327.93</v>
      </c>
      <c r="K12" t="s">
        <v>26</v>
      </c>
      <c r="L12">
        <v>91129</v>
      </c>
      <c r="M12" t="str">
        <f>"/ROC/024100P0913581 BENDAHARI NEGERI PUL"</f>
        <v>/ROC/024100P0913581 BENDAHARI NEGERI PUL</v>
      </c>
      <c r="O12">
        <v>1</v>
      </c>
      <c r="P12" t="str">
        <f>"024100P0913581"</f>
        <v>024100P0913581</v>
      </c>
      <c r="Q12" t="str">
        <f>"Outward RTGS"</f>
        <v>Outward RTGS</v>
      </c>
      <c r="R12" t="str">
        <f>"BENDAHARI NEGERI PUL"</f>
        <v>BENDAHARI NEGERI PUL</v>
      </c>
    </row>
    <row r="13" spans="1:18" x14ac:dyDescent="0.25">
      <c r="A13">
        <v>8003879954</v>
      </c>
      <c r="B13">
        <v>1</v>
      </c>
      <c r="C13">
        <v>26042017</v>
      </c>
      <c r="D13">
        <v>102</v>
      </c>
      <c r="E13" t="s">
        <v>46</v>
      </c>
      <c r="F13">
        <v>9815</v>
      </c>
      <c r="G13" t="s">
        <v>132</v>
      </c>
      <c r="H13" s="1">
        <v>1600</v>
      </c>
      <c r="I13" t="s">
        <v>26</v>
      </c>
      <c r="J13" s="1">
        <v>111076.4</v>
      </c>
      <c r="K13" t="s">
        <v>26</v>
      </c>
      <c r="L13">
        <v>164103</v>
      </c>
      <c r="M13" t="str">
        <f>""</f>
        <v/>
      </c>
      <c r="O13">
        <v>1</v>
      </c>
    </row>
    <row r="14" spans="1:18" x14ac:dyDescent="0.25">
      <c r="A14">
        <v>8003879954</v>
      </c>
      <c r="B14">
        <v>3</v>
      </c>
      <c r="C14">
        <v>20042017</v>
      </c>
      <c r="D14">
        <v>299</v>
      </c>
      <c r="E14" t="s">
        <v>30</v>
      </c>
      <c r="H14" s="1">
        <v>0.03</v>
      </c>
      <c r="I14" s="1" t="s">
        <v>28</v>
      </c>
      <c r="J14" s="1">
        <v>109476.4</v>
      </c>
      <c r="K14" t="s">
        <v>26</v>
      </c>
      <c r="L14">
        <v>5655</v>
      </c>
      <c r="M14" t="s">
        <v>53</v>
      </c>
      <c r="O14">
        <v>1</v>
      </c>
    </row>
    <row r="15" spans="1:18" x14ac:dyDescent="0.25">
      <c r="A15">
        <v>8003879954</v>
      </c>
      <c r="B15">
        <v>2</v>
      </c>
      <c r="C15">
        <v>20042017</v>
      </c>
      <c r="D15">
        <v>819</v>
      </c>
      <c r="E15" t="s">
        <v>32</v>
      </c>
      <c r="H15" s="1">
        <v>0.5</v>
      </c>
      <c r="I15" s="1" t="s">
        <v>28</v>
      </c>
      <c r="J15" s="1">
        <v>109476.43</v>
      </c>
      <c r="K15" t="s">
        <v>26</v>
      </c>
      <c r="L15">
        <v>5655</v>
      </c>
      <c r="M15" t="s">
        <v>53</v>
      </c>
      <c r="O15">
        <v>1</v>
      </c>
    </row>
    <row r="16" spans="1:18" x14ac:dyDescent="0.25">
      <c r="A16">
        <v>8003879954</v>
      </c>
      <c r="B16">
        <v>1</v>
      </c>
      <c r="C16">
        <v>20042017</v>
      </c>
      <c r="D16">
        <v>323</v>
      </c>
      <c r="E16" t="s">
        <v>33</v>
      </c>
      <c r="F16">
        <v>0</v>
      </c>
      <c r="G16" s="3">
        <v>687936</v>
      </c>
      <c r="H16" s="1">
        <v>25647</v>
      </c>
      <c r="I16" s="1" t="s">
        <v>28</v>
      </c>
      <c r="J16" s="1">
        <v>109476.93</v>
      </c>
      <c r="K16" t="s">
        <v>26</v>
      </c>
      <c r="L16">
        <v>5607</v>
      </c>
      <c r="M16" t="s">
        <v>53</v>
      </c>
      <c r="O16">
        <v>1</v>
      </c>
    </row>
    <row r="17" spans="1:18" x14ac:dyDescent="0.25">
      <c r="A17">
        <v>8003879954</v>
      </c>
      <c r="B17">
        <v>4</v>
      </c>
      <c r="C17">
        <v>19042017</v>
      </c>
      <c r="D17">
        <v>299</v>
      </c>
      <c r="E17" t="s">
        <v>30</v>
      </c>
      <c r="H17" s="1">
        <v>0.06</v>
      </c>
      <c r="I17" s="1" t="s">
        <v>28</v>
      </c>
      <c r="J17" s="1">
        <v>135123.93</v>
      </c>
      <c r="K17" t="s">
        <v>26</v>
      </c>
      <c r="L17">
        <v>5933</v>
      </c>
      <c r="M17" t="s">
        <v>53</v>
      </c>
      <c r="O17">
        <v>1</v>
      </c>
    </row>
    <row r="18" spans="1:18" x14ac:dyDescent="0.25">
      <c r="A18">
        <v>8003879954</v>
      </c>
      <c r="B18">
        <v>3</v>
      </c>
      <c r="C18">
        <v>19042017</v>
      </c>
      <c r="D18">
        <v>819</v>
      </c>
      <c r="E18" t="s">
        <v>32</v>
      </c>
      <c r="H18" s="1">
        <v>1</v>
      </c>
      <c r="I18" s="1" t="s">
        <v>28</v>
      </c>
      <c r="J18" s="1">
        <v>135123.99</v>
      </c>
      <c r="K18" t="s">
        <v>26</v>
      </c>
      <c r="L18">
        <v>5933</v>
      </c>
      <c r="M18" t="s">
        <v>53</v>
      </c>
      <c r="O18">
        <v>1</v>
      </c>
    </row>
    <row r="19" spans="1:18" x14ac:dyDescent="0.25">
      <c r="A19">
        <v>8003879954</v>
      </c>
      <c r="B19">
        <v>2</v>
      </c>
      <c r="C19">
        <v>19042017</v>
      </c>
      <c r="D19">
        <v>323</v>
      </c>
      <c r="E19" t="s">
        <v>33</v>
      </c>
      <c r="F19">
        <v>0</v>
      </c>
      <c r="G19" s="3">
        <v>687917</v>
      </c>
      <c r="H19" s="1">
        <v>530</v>
      </c>
      <c r="I19" s="1" t="s">
        <v>28</v>
      </c>
      <c r="J19" s="1">
        <v>135124.99</v>
      </c>
      <c r="K19" t="s">
        <v>26</v>
      </c>
      <c r="L19">
        <v>5818</v>
      </c>
      <c r="M19" t="s">
        <v>53</v>
      </c>
      <c r="O19">
        <v>1</v>
      </c>
    </row>
    <row r="20" spans="1:18" x14ac:dyDescent="0.25">
      <c r="A20">
        <v>8003879954</v>
      </c>
      <c r="B20">
        <v>1</v>
      </c>
      <c r="C20">
        <v>19042017</v>
      </c>
      <c r="D20">
        <v>323</v>
      </c>
      <c r="E20" t="s">
        <v>33</v>
      </c>
      <c r="F20">
        <v>0</v>
      </c>
      <c r="G20" s="3">
        <v>687909</v>
      </c>
      <c r="H20" s="1">
        <v>530</v>
      </c>
      <c r="I20" s="1" t="s">
        <v>28</v>
      </c>
      <c r="J20" s="1">
        <v>135654.99</v>
      </c>
      <c r="K20" t="s">
        <v>26</v>
      </c>
      <c r="L20">
        <v>5818</v>
      </c>
      <c r="M20" t="s">
        <v>53</v>
      </c>
      <c r="O20">
        <v>1</v>
      </c>
    </row>
    <row r="21" spans="1:18" x14ac:dyDescent="0.25">
      <c r="A21">
        <v>8003879954</v>
      </c>
      <c r="B21">
        <v>1</v>
      </c>
      <c r="C21">
        <v>18042017</v>
      </c>
      <c r="D21">
        <v>143</v>
      </c>
      <c r="E21" t="s">
        <v>54</v>
      </c>
      <c r="F21">
        <v>9938</v>
      </c>
      <c r="G21" s="3">
        <v>15720149</v>
      </c>
      <c r="H21" s="1">
        <v>1000</v>
      </c>
      <c r="I21" s="1" t="s">
        <v>26</v>
      </c>
      <c r="J21" s="1">
        <v>136184.99</v>
      </c>
      <c r="K21" t="s">
        <v>26</v>
      </c>
      <c r="L21">
        <v>145618</v>
      </c>
      <c r="M21" t="s">
        <v>55</v>
      </c>
      <c r="O21">
        <v>1</v>
      </c>
      <c r="P21" t="s">
        <v>55</v>
      </c>
      <c r="Q21" t="s">
        <v>55</v>
      </c>
      <c r="R21" t="s">
        <v>56</v>
      </c>
    </row>
    <row r="22" spans="1:18" x14ac:dyDescent="0.25">
      <c r="A22">
        <v>8003879954</v>
      </c>
      <c r="B22">
        <v>2</v>
      </c>
      <c r="C22">
        <v>17042017</v>
      </c>
      <c r="D22">
        <v>123</v>
      </c>
      <c r="E22" t="s">
        <v>38</v>
      </c>
      <c r="F22">
        <v>2007</v>
      </c>
      <c r="G22" s="3">
        <v>73098627</v>
      </c>
      <c r="H22" s="1">
        <v>1500</v>
      </c>
      <c r="I22" s="1" t="s">
        <v>26</v>
      </c>
      <c r="J22" s="1">
        <v>135184.99</v>
      </c>
      <c r="K22" t="s">
        <v>26</v>
      </c>
      <c r="L22">
        <v>190609</v>
      </c>
      <c r="M22" t="s">
        <v>53</v>
      </c>
      <c r="O22">
        <v>1</v>
      </c>
    </row>
    <row r="23" spans="1:18" x14ac:dyDescent="0.25">
      <c r="A23">
        <v>8003879954</v>
      </c>
      <c r="B23">
        <v>1</v>
      </c>
      <c r="C23">
        <v>17042017</v>
      </c>
      <c r="D23">
        <v>5</v>
      </c>
      <c r="E23" t="s">
        <v>42</v>
      </c>
      <c r="H23" s="1">
        <v>100000</v>
      </c>
      <c r="I23" s="1" t="s">
        <v>26</v>
      </c>
      <c r="J23" s="1">
        <v>133684.99</v>
      </c>
      <c r="K23" t="s">
        <v>26</v>
      </c>
      <c r="L23">
        <v>155933</v>
      </c>
      <c r="M23" t="s">
        <v>57</v>
      </c>
      <c r="O23">
        <v>1</v>
      </c>
      <c r="P23" t="s">
        <v>58</v>
      </c>
      <c r="Q23" t="s">
        <v>59</v>
      </c>
      <c r="R23" t="s">
        <v>60</v>
      </c>
    </row>
    <row r="24" spans="1:18" x14ac:dyDescent="0.25">
      <c r="A24">
        <v>8003879954</v>
      </c>
      <c r="B24">
        <v>52</v>
      </c>
      <c r="C24">
        <v>14042017</v>
      </c>
      <c r="D24">
        <v>299</v>
      </c>
      <c r="E24" t="s">
        <v>30</v>
      </c>
      <c r="H24" s="1">
        <v>0.09</v>
      </c>
      <c r="I24" s="1" t="s">
        <v>28</v>
      </c>
      <c r="J24" s="1">
        <v>33684.99</v>
      </c>
      <c r="K24" t="s">
        <v>26</v>
      </c>
      <c r="L24">
        <v>24346</v>
      </c>
      <c r="M24" t="s">
        <v>53</v>
      </c>
      <c r="O24">
        <v>1</v>
      </c>
    </row>
    <row r="25" spans="1:18" x14ac:dyDescent="0.25">
      <c r="A25">
        <v>8003879954</v>
      </c>
      <c r="B25">
        <v>51</v>
      </c>
      <c r="C25">
        <v>14042017</v>
      </c>
      <c r="D25">
        <v>819</v>
      </c>
      <c r="E25" t="s">
        <v>32</v>
      </c>
      <c r="H25" s="1">
        <v>1.5</v>
      </c>
      <c r="I25" s="1" t="s">
        <v>28</v>
      </c>
      <c r="J25" s="1">
        <v>33685.08</v>
      </c>
      <c r="K25" t="s">
        <v>26</v>
      </c>
      <c r="L25">
        <v>24346</v>
      </c>
      <c r="M25" t="s">
        <v>53</v>
      </c>
      <c r="O25">
        <v>1</v>
      </c>
    </row>
    <row r="26" spans="1:18" x14ac:dyDescent="0.25">
      <c r="A26">
        <v>8003879954</v>
      </c>
      <c r="B26">
        <v>50</v>
      </c>
      <c r="C26">
        <v>14042017</v>
      </c>
      <c r="D26">
        <v>323</v>
      </c>
      <c r="E26" t="s">
        <v>33</v>
      </c>
      <c r="F26">
        <v>0</v>
      </c>
      <c r="G26" s="3">
        <v>687932</v>
      </c>
      <c r="H26" s="1">
        <v>22080</v>
      </c>
      <c r="I26" s="1" t="s">
        <v>28</v>
      </c>
      <c r="J26" s="1">
        <v>33686.58</v>
      </c>
      <c r="K26" t="s">
        <v>26</v>
      </c>
      <c r="L26">
        <v>24258</v>
      </c>
      <c r="M26" t="s">
        <v>53</v>
      </c>
      <c r="O26">
        <v>1</v>
      </c>
    </row>
    <row r="27" spans="1:18" x14ac:dyDescent="0.25">
      <c r="A27">
        <v>8003879954</v>
      </c>
      <c r="B27">
        <v>49</v>
      </c>
      <c r="C27">
        <v>14042017</v>
      </c>
      <c r="D27">
        <v>323</v>
      </c>
      <c r="E27" t="s">
        <v>33</v>
      </c>
      <c r="F27">
        <v>0</v>
      </c>
      <c r="G27" s="3">
        <v>687931</v>
      </c>
      <c r="H27" s="1">
        <v>32899.22</v>
      </c>
      <c r="I27" s="1" t="s">
        <v>28</v>
      </c>
      <c r="J27" s="1">
        <v>55766.58</v>
      </c>
      <c r="K27" t="s">
        <v>26</v>
      </c>
      <c r="L27">
        <v>24258</v>
      </c>
      <c r="M27" t="s">
        <v>53</v>
      </c>
      <c r="O27">
        <v>1</v>
      </c>
    </row>
    <row r="28" spans="1:18" x14ac:dyDescent="0.25">
      <c r="A28">
        <v>8003879954</v>
      </c>
      <c r="B28">
        <v>48</v>
      </c>
      <c r="C28">
        <v>14042017</v>
      </c>
      <c r="D28">
        <v>323</v>
      </c>
      <c r="E28" t="s">
        <v>33</v>
      </c>
      <c r="F28">
        <v>0</v>
      </c>
      <c r="G28" s="3">
        <v>687912</v>
      </c>
      <c r="H28" s="1">
        <v>170</v>
      </c>
      <c r="I28" s="1" t="s">
        <v>28</v>
      </c>
      <c r="J28" s="1">
        <v>88665.8</v>
      </c>
      <c r="K28" t="s">
        <v>26</v>
      </c>
      <c r="L28">
        <v>24258</v>
      </c>
      <c r="M28" t="s">
        <v>53</v>
      </c>
      <c r="O28">
        <v>1</v>
      </c>
    </row>
    <row r="29" spans="1:18" x14ac:dyDescent="0.25">
      <c r="A29">
        <v>8003879954</v>
      </c>
      <c r="B29">
        <v>47</v>
      </c>
      <c r="C29">
        <v>14042017</v>
      </c>
      <c r="D29">
        <v>341</v>
      </c>
      <c r="E29" t="s">
        <v>29</v>
      </c>
      <c r="F29">
        <v>9938</v>
      </c>
      <c r="G29" s="3">
        <v>15638776</v>
      </c>
      <c r="H29" s="1">
        <v>3402.6</v>
      </c>
      <c r="I29" s="1" t="s">
        <v>28</v>
      </c>
      <c r="J29" s="1">
        <v>88835.8</v>
      </c>
      <c r="K29" t="s">
        <v>26</v>
      </c>
      <c r="L29">
        <v>174010</v>
      </c>
      <c r="M29" t="s">
        <v>61</v>
      </c>
      <c r="O29">
        <v>1</v>
      </c>
      <c r="P29" t="s">
        <v>62</v>
      </c>
      <c r="Q29" t="s">
        <v>63</v>
      </c>
    </row>
    <row r="30" spans="1:18" x14ac:dyDescent="0.25">
      <c r="A30">
        <v>8003879954</v>
      </c>
      <c r="B30">
        <v>46</v>
      </c>
      <c r="C30">
        <v>14042017</v>
      </c>
      <c r="D30">
        <v>299</v>
      </c>
      <c r="E30" t="s">
        <v>30</v>
      </c>
      <c r="F30">
        <v>9938</v>
      </c>
      <c r="G30" s="3">
        <v>15638776</v>
      </c>
      <c r="H30" s="1">
        <v>0.01</v>
      </c>
      <c r="I30" s="1" t="s">
        <v>28</v>
      </c>
      <c r="J30" s="1">
        <v>92238.399999999994</v>
      </c>
      <c r="K30" t="s">
        <v>26</v>
      </c>
      <c r="L30">
        <v>174010</v>
      </c>
      <c r="M30" t="s">
        <v>64</v>
      </c>
      <c r="O30">
        <v>1</v>
      </c>
    </row>
    <row r="31" spans="1:18" x14ac:dyDescent="0.25">
      <c r="A31">
        <v>8003879954</v>
      </c>
      <c r="B31">
        <v>45</v>
      </c>
      <c r="C31">
        <v>14042017</v>
      </c>
      <c r="D31">
        <v>489</v>
      </c>
      <c r="E31" t="s">
        <v>31</v>
      </c>
      <c r="F31">
        <v>9938</v>
      </c>
      <c r="G31" s="3">
        <v>15638776</v>
      </c>
      <c r="H31" s="1">
        <v>0.1</v>
      </c>
      <c r="I31" s="1" t="s">
        <v>28</v>
      </c>
      <c r="J31" s="1">
        <v>92238.41</v>
      </c>
      <c r="K31" t="s">
        <v>26</v>
      </c>
      <c r="L31">
        <v>174010</v>
      </c>
      <c r="M31" t="s">
        <v>64</v>
      </c>
      <c r="O31">
        <v>1</v>
      </c>
    </row>
    <row r="32" spans="1:18" x14ac:dyDescent="0.25">
      <c r="A32">
        <v>8003879954</v>
      </c>
      <c r="B32">
        <v>44</v>
      </c>
      <c r="C32">
        <v>14042017</v>
      </c>
      <c r="D32">
        <v>60</v>
      </c>
      <c r="E32" t="s">
        <v>43</v>
      </c>
      <c r="F32">
        <v>9938</v>
      </c>
      <c r="G32" s="3">
        <v>15627386</v>
      </c>
      <c r="H32" s="1">
        <v>795</v>
      </c>
      <c r="I32" s="1" t="s">
        <v>28</v>
      </c>
      <c r="J32" s="1">
        <v>92238.51</v>
      </c>
      <c r="K32" t="s">
        <v>26</v>
      </c>
      <c r="L32">
        <v>170345</v>
      </c>
      <c r="M32" t="s">
        <v>65</v>
      </c>
      <c r="O32">
        <v>1</v>
      </c>
      <c r="P32" t="s">
        <v>66</v>
      </c>
      <c r="Q32" t="s">
        <v>67</v>
      </c>
    </row>
    <row r="33" spans="1:17" x14ac:dyDescent="0.25">
      <c r="A33">
        <v>8003879954</v>
      </c>
      <c r="B33">
        <v>43</v>
      </c>
      <c r="C33">
        <v>14042017</v>
      </c>
      <c r="D33">
        <v>341</v>
      </c>
      <c r="E33" t="s">
        <v>29</v>
      </c>
      <c r="F33">
        <v>9938</v>
      </c>
      <c r="G33" s="3">
        <v>15627440</v>
      </c>
      <c r="H33" s="1">
        <v>2544</v>
      </c>
      <c r="I33" s="1" t="s">
        <v>28</v>
      </c>
      <c r="J33" s="1">
        <v>93033.51</v>
      </c>
      <c r="K33" t="s">
        <v>26</v>
      </c>
      <c r="L33">
        <v>170339</v>
      </c>
      <c r="M33" t="s">
        <v>68</v>
      </c>
      <c r="O33">
        <v>1</v>
      </c>
      <c r="P33" t="s">
        <v>69</v>
      </c>
      <c r="Q33" t="s">
        <v>70</v>
      </c>
    </row>
    <row r="34" spans="1:17" x14ac:dyDescent="0.25">
      <c r="A34">
        <v>8003879954</v>
      </c>
      <c r="B34">
        <v>42</v>
      </c>
      <c r="C34">
        <v>14042017</v>
      </c>
      <c r="D34">
        <v>299</v>
      </c>
      <c r="E34" t="s">
        <v>30</v>
      </c>
      <c r="F34">
        <v>9938</v>
      </c>
      <c r="G34" s="3">
        <v>15627440</v>
      </c>
      <c r="H34" s="1">
        <v>0.01</v>
      </c>
      <c r="I34" s="1" t="s">
        <v>28</v>
      </c>
      <c r="J34" s="1">
        <v>95577.51</v>
      </c>
      <c r="K34" t="s">
        <v>26</v>
      </c>
      <c r="L34">
        <v>170339</v>
      </c>
      <c r="M34" t="s">
        <v>71</v>
      </c>
      <c r="O34">
        <v>1</v>
      </c>
    </row>
    <row r="35" spans="1:17" x14ac:dyDescent="0.25">
      <c r="A35">
        <v>8003879954</v>
      </c>
      <c r="B35">
        <v>41</v>
      </c>
      <c r="C35">
        <v>14042017</v>
      </c>
      <c r="D35">
        <v>489</v>
      </c>
      <c r="E35" t="s">
        <v>31</v>
      </c>
      <c r="F35">
        <v>9938</v>
      </c>
      <c r="G35" s="3">
        <v>15627440</v>
      </c>
      <c r="H35" s="1">
        <v>0.1</v>
      </c>
      <c r="I35" s="1" t="s">
        <v>28</v>
      </c>
      <c r="J35" s="1">
        <v>95577.52</v>
      </c>
      <c r="K35" t="s">
        <v>26</v>
      </c>
      <c r="L35">
        <v>170339</v>
      </c>
      <c r="M35" t="s">
        <v>71</v>
      </c>
      <c r="O35">
        <v>1</v>
      </c>
    </row>
    <row r="36" spans="1:17" x14ac:dyDescent="0.25">
      <c r="A36">
        <v>8003879954</v>
      </c>
      <c r="B36">
        <v>40</v>
      </c>
      <c r="C36">
        <v>14042017</v>
      </c>
      <c r="D36">
        <v>345</v>
      </c>
      <c r="E36" t="s">
        <v>27</v>
      </c>
      <c r="F36">
        <v>9938</v>
      </c>
      <c r="G36" s="3">
        <v>15627113</v>
      </c>
      <c r="H36" s="1">
        <v>503.09</v>
      </c>
      <c r="I36" s="1" t="s">
        <v>28</v>
      </c>
      <c r="J36" s="1">
        <v>95577.62</v>
      </c>
      <c r="K36" t="s">
        <v>26</v>
      </c>
      <c r="L36">
        <v>170340</v>
      </c>
      <c r="M36" t="s">
        <v>72</v>
      </c>
      <c r="O36">
        <v>1</v>
      </c>
      <c r="P36" t="s">
        <v>73</v>
      </c>
      <c r="Q36" t="s">
        <v>74</v>
      </c>
    </row>
    <row r="37" spans="1:17" x14ac:dyDescent="0.25">
      <c r="A37">
        <v>8003879954</v>
      </c>
      <c r="B37">
        <v>39</v>
      </c>
      <c r="C37">
        <v>14042017</v>
      </c>
      <c r="D37">
        <v>341</v>
      </c>
      <c r="E37" t="s">
        <v>29</v>
      </c>
      <c r="F37">
        <v>9938</v>
      </c>
      <c r="G37" s="3">
        <v>15627503</v>
      </c>
      <c r="H37" s="1">
        <v>1148.3399999999999</v>
      </c>
      <c r="I37" s="1" t="s">
        <v>28</v>
      </c>
      <c r="J37" s="1">
        <v>96080.71</v>
      </c>
      <c r="K37" t="s">
        <v>26</v>
      </c>
      <c r="L37">
        <v>170340</v>
      </c>
      <c r="M37" t="s">
        <v>75</v>
      </c>
      <c r="O37">
        <v>1</v>
      </c>
      <c r="P37" t="s">
        <v>76</v>
      </c>
      <c r="Q37" t="s">
        <v>77</v>
      </c>
    </row>
    <row r="38" spans="1:17" x14ac:dyDescent="0.25">
      <c r="A38">
        <v>8003879954</v>
      </c>
      <c r="B38">
        <v>38</v>
      </c>
      <c r="C38">
        <v>14042017</v>
      </c>
      <c r="D38">
        <v>299</v>
      </c>
      <c r="E38" t="s">
        <v>30</v>
      </c>
      <c r="F38">
        <v>9938</v>
      </c>
      <c r="G38" s="3">
        <v>15627503</v>
      </c>
      <c r="H38" s="1">
        <v>0.01</v>
      </c>
      <c r="I38" s="1" t="s">
        <v>28</v>
      </c>
      <c r="J38" s="1">
        <v>97229.05</v>
      </c>
      <c r="K38" t="s">
        <v>26</v>
      </c>
      <c r="L38">
        <v>170340</v>
      </c>
      <c r="M38" t="s">
        <v>78</v>
      </c>
      <c r="O38">
        <v>1</v>
      </c>
    </row>
    <row r="39" spans="1:17" x14ac:dyDescent="0.25">
      <c r="A39">
        <v>8003879954</v>
      </c>
      <c r="B39">
        <v>37</v>
      </c>
      <c r="C39">
        <v>14042017</v>
      </c>
      <c r="D39">
        <v>489</v>
      </c>
      <c r="E39" t="s">
        <v>31</v>
      </c>
      <c r="F39">
        <v>9938</v>
      </c>
      <c r="G39" s="3">
        <v>15627503</v>
      </c>
      <c r="H39" s="1">
        <v>0.1</v>
      </c>
      <c r="I39" s="1" t="s">
        <v>28</v>
      </c>
      <c r="J39" s="1">
        <v>97229.06</v>
      </c>
      <c r="K39" t="s">
        <v>26</v>
      </c>
      <c r="L39">
        <v>170340</v>
      </c>
      <c r="M39" t="s">
        <v>78</v>
      </c>
      <c r="O39">
        <v>1</v>
      </c>
    </row>
    <row r="40" spans="1:17" x14ac:dyDescent="0.25">
      <c r="A40">
        <v>8003879954</v>
      </c>
      <c r="B40">
        <v>36</v>
      </c>
      <c r="C40">
        <v>14042017</v>
      </c>
      <c r="D40">
        <v>341</v>
      </c>
      <c r="E40" t="s">
        <v>29</v>
      </c>
      <c r="F40">
        <v>9938</v>
      </c>
      <c r="G40" s="3">
        <v>15628000</v>
      </c>
      <c r="H40" s="1">
        <v>195</v>
      </c>
      <c r="I40" s="1" t="s">
        <v>28</v>
      </c>
      <c r="J40" s="1">
        <v>97229.16</v>
      </c>
      <c r="K40" t="s">
        <v>26</v>
      </c>
      <c r="L40">
        <v>170340</v>
      </c>
      <c r="M40" t="s">
        <v>79</v>
      </c>
      <c r="O40">
        <v>1</v>
      </c>
      <c r="P40" t="s">
        <v>80</v>
      </c>
      <c r="Q40" t="s">
        <v>81</v>
      </c>
    </row>
    <row r="41" spans="1:17" x14ac:dyDescent="0.25">
      <c r="A41">
        <v>8003879954</v>
      </c>
      <c r="B41">
        <v>35</v>
      </c>
      <c r="C41">
        <v>14042017</v>
      </c>
      <c r="D41">
        <v>299</v>
      </c>
      <c r="E41" t="s">
        <v>30</v>
      </c>
      <c r="F41">
        <v>9938</v>
      </c>
      <c r="G41" s="3">
        <v>15628000</v>
      </c>
      <c r="H41" s="1">
        <v>0.01</v>
      </c>
      <c r="I41" s="1" t="s">
        <v>28</v>
      </c>
      <c r="J41" s="1">
        <v>97424.16</v>
      </c>
      <c r="K41" t="s">
        <v>26</v>
      </c>
      <c r="L41">
        <v>170340</v>
      </c>
      <c r="M41" t="s">
        <v>82</v>
      </c>
      <c r="O41">
        <v>1</v>
      </c>
    </row>
    <row r="42" spans="1:17" x14ac:dyDescent="0.25">
      <c r="A42">
        <v>8003879954</v>
      </c>
      <c r="B42">
        <v>34</v>
      </c>
      <c r="C42">
        <v>14042017</v>
      </c>
      <c r="D42">
        <v>489</v>
      </c>
      <c r="E42" t="s">
        <v>31</v>
      </c>
      <c r="F42">
        <v>9938</v>
      </c>
      <c r="G42" s="3">
        <v>15628000</v>
      </c>
      <c r="H42" s="1">
        <v>0.1</v>
      </c>
      <c r="I42" s="1" t="s">
        <v>28</v>
      </c>
      <c r="J42" s="1">
        <v>97424.17</v>
      </c>
      <c r="K42" t="s">
        <v>26</v>
      </c>
      <c r="L42">
        <v>170340</v>
      </c>
      <c r="M42" t="s">
        <v>82</v>
      </c>
      <c r="O42">
        <v>1</v>
      </c>
    </row>
    <row r="43" spans="1:17" x14ac:dyDescent="0.25">
      <c r="A43">
        <v>8003879954</v>
      </c>
      <c r="B43">
        <v>33</v>
      </c>
      <c r="C43">
        <v>14042017</v>
      </c>
      <c r="D43">
        <v>341</v>
      </c>
      <c r="E43" t="s">
        <v>29</v>
      </c>
      <c r="F43">
        <v>9938</v>
      </c>
      <c r="G43" s="3">
        <v>15627210</v>
      </c>
      <c r="H43" s="1">
        <v>3870</v>
      </c>
      <c r="I43" s="1" t="s">
        <v>28</v>
      </c>
      <c r="J43" s="1">
        <v>97424.27</v>
      </c>
      <c r="K43" t="s">
        <v>26</v>
      </c>
      <c r="L43">
        <v>170339</v>
      </c>
      <c r="M43" t="s">
        <v>83</v>
      </c>
      <c r="O43">
        <v>1</v>
      </c>
      <c r="P43" t="s">
        <v>84</v>
      </c>
      <c r="Q43" t="s">
        <v>85</v>
      </c>
    </row>
    <row r="44" spans="1:17" x14ac:dyDescent="0.25">
      <c r="A44">
        <v>8003879954</v>
      </c>
      <c r="B44">
        <v>32</v>
      </c>
      <c r="C44">
        <v>14042017</v>
      </c>
      <c r="D44">
        <v>299</v>
      </c>
      <c r="E44" t="s">
        <v>30</v>
      </c>
      <c r="F44">
        <v>9938</v>
      </c>
      <c r="G44" s="3">
        <v>15627210</v>
      </c>
      <c r="H44" s="1">
        <v>0.01</v>
      </c>
      <c r="I44" s="1" t="s">
        <v>28</v>
      </c>
      <c r="J44" s="1">
        <v>101294.27</v>
      </c>
      <c r="K44" t="s">
        <v>26</v>
      </c>
      <c r="L44">
        <v>170339</v>
      </c>
      <c r="M44" t="s">
        <v>86</v>
      </c>
      <c r="O44">
        <v>1</v>
      </c>
    </row>
    <row r="45" spans="1:17" x14ac:dyDescent="0.25">
      <c r="A45">
        <v>8003879954</v>
      </c>
      <c r="B45">
        <v>31</v>
      </c>
      <c r="C45">
        <v>14042017</v>
      </c>
      <c r="D45">
        <v>489</v>
      </c>
      <c r="E45" t="s">
        <v>31</v>
      </c>
      <c r="F45">
        <v>9938</v>
      </c>
      <c r="G45" s="3">
        <v>15627210</v>
      </c>
      <c r="H45" s="1">
        <v>0.1</v>
      </c>
      <c r="I45" s="1" t="s">
        <v>28</v>
      </c>
      <c r="J45" s="1">
        <v>101294.28</v>
      </c>
      <c r="K45" t="s">
        <v>26</v>
      </c>
      <c r="L45">
        <v>170339</v>
      </c>
      <c r="M45" t="s">
        <v>86</v>
      </c>
      <c r="O45">
        <v>1</v>
      </c>
    </row>
    <row r="46" spans="1:17" x14ac:dyDescent="0.25">
      <c r="A46">
        <v>8003879954</v>
      </c>
      <c r="B46">
        <v>30</v>
      </c>
      <c r="C46">
        <v>14042017</v>
      </c>
      <c r="D46">
        <v>341</v>
      </c>
      <c r="E46" t="s">
        <v>29</v>
      </c>
      <c r="F46">
        <v>9938</v>
      </c>
      <c r="G46" s="3">
        <v>15627948</v>
      </c>
      <c r="H46" s="1">
        <v>192.92</v>
      </c>
      <c r="I46" s="1" t="s">
        <v>28</v>
      </c>
      <c r="J46" s="1">
        <v>101294.38</v>
      </c>
      <c r="K46" t="s">
        <v>26</v>
      </c>
      <c r="L46">
        <v>170339</v>
      </c>
      <c r="M46" t="s">
        <v>87</v>
      </c>
      <c r="O46">
        <v>1</v>
      </c>
      <c r="P46" t="s">
        <v>88</v>
      </c>
      <c r="Q46" t="s">
        <v>89</v>
      </c>
    </row>
    <row r="47" spans="1:17" x14ac:dyDescent="0.25">
      <c r="A47">
        <v>8003879954</v>
      </c>
      <c r="B47">
        <v>29</v>
      </c>
      <c r="C47">
        <v>14042017</v>
      </c>
      <c r="D47">
        <v>299</v>
      </c>
      <c r="E47" t="s">
        <v>30</v>
      </c>
      <c r="F47">
        <v>9938</v>
      </c>
      <c r="G47" s="3">
        <v>15627948</v>
      </c>
      <c r="H47" s="1">
        <v>0.01</v>
      </c>
      <c r="I47" s="1" t="s">
        <v>28</v>
      </c>
      <c r="J47" s="1">
        <v>101487.3</v>
      </c>
      <c r="K47" t="s">
        <v>26</v>
      </c>
      <c r="L47">
        <v>170339</v>
      </c>
      <c r="M47" t="s">
        <v>90</v>
      </c>
      <c r="O47">
        <v>1</v>
      </c>
    </row>
    <row r="48" spans="1:17" x14ac:dyDescent="0.25">
      <c r="A48">
        <v>8003879954</v>
      </c>
      <c r="B48">
        <v>28</v>
      </c>
      <c r="C48">
        <v>14042017</v>
      </c>
      <c r="D48">
        <v>489</v>
      </c>
      <c r="E48" t="s">
        <v>31</v>
      </c>
      <c r="F48">
        <v>9938</v>
      </c>
      <c r="G48" s="3">
        <v>15627948</v>
      </c>
      <c r="H48" s="1">
        <v>0.1</v>
      </c>
      <c r="I48" s="1" t="s">
        <v>28</v>
      </c>
      <c r="J48" s="1">
        <v>101487.31</v>
      </c>
      <c r="K48" t="s">
        <v>26</v>
      </c>
      <c r="L48">
        <v>170339</v>
      </c>
      <c r="M48" t="s">
        <v>90</v>
      </c>
      <c r="O48">
        <v>1</v>
      </c>
    </row>
    <row r="49" spans="1:17" x14ac:dyDescent="0.25">
      <c r="A49">
        <v>8003879954</v>
      </c>
      <c r="B49">
        <v>27</v>
      </c>
      <c r="C49">
        <v>14042017</v>
      </c>
      <c r="D49">
        <v>60</v>
      </c>
      <c r="E49" t="s">
        <v>43</v>
      </c>
      <c r="F49">
        <v>9938</v>
      </c>
      <c r="G49" s="3">
        <v>15628080</v>
      </c>
      <c r="H49" s="1">
        <v>2120</v>
      </c>
      <c r="I49" s="1" t="s">
        <v>28</v>
      </c>
      <c r="J49" s="1">
        <v>101487.41</v>
      </c>
      <c r="K49" t="s">
        <v>26</v>
      </c>
      <c r="L49">
        <v>170339</v>
      </c>
      <c r="M49" t="s">
        <v>91</v>
      </c>
      <c r="O49">
        <v>1</v>
      </c>
      <c r="P49" t="s">
        <v>92</v>
      </c>
      <c r="Q49" t="s">
        <v>93</v>
      </c>
    </row>
    <row r="50" spans="1:17" x14ac:dyDescent="0.25">
      <c r="A50">
        <v>8003879954</v>
      </c>
      <c r="B50">
        <v>26</v>
      </c>
      <c r="C50">
        <v>14042017</v>
      </c>
      <c r="D50">
        <v>60</v>
      </c>
      <c r="E50" t="s">
        <v>43</v>
      </c>
      <c r="F50">
        <v>9938</v>
      </c>
      <c r="G50" s="3">
        <v>15628827</v>
      </c>
      <c r="H50" s="1">
        <v>7500</v>
      </c>
      <c r="I50" s="1" t="s">
        <v>28</v>
      </c>
      <c r="J50" s="1">
        <v>103607.41</v>
      </c>
      <c r="K50" t="s">
        <v>26</v>
      </c>
      <c r="L50">
        <v>165913</v>
      </c>
      <c r="M50" t="s">
        <v>94</v>
      </c>
      <c r="O50">
        <v>1</v>
      </c>
      <c r="P50" t="s">
        <v>95</v>
      </c>
      <c r="Q50" t="s">
        <v>96</v>
      </c>
    </row>
    <row r="51" spans="1:17" x14ac:dyDescent="0.25">
      <c r="A51">
        <v>8003879954</v>
      </c>
      <c r="B51">
        <v>25</v>
      </c>
      <c r="C51">
        <v>14042017</v>
      </c>
      <c r="D51">
        <v>341</v>
      </c>
      <c r="E51" t="s">
        <v>29</v>
      </c>
      <c r="F51">
        <v>9938</v>
      </c>
      <c r="G51" s="3">
        <v>15628563</v>
      </c>
      <c r="H51" s="1">
        <v>17.5</v>
      </c>
      <c r="I51" s="1" t="s">
        <v>28</v>
      </c>
      <c r="J51" s="1">
        <v>111107.41</v>
      </c>
      <c r="K51" t="s">
        <v>26</v>
      </c>
      <c r="L51">
        <v>165911</v>
      </c>
      <c r="M51" t="s">
        <v>97</v>
      </c>
      <c r="O51">
        <v>1</v>
      </c>
      <c r="P51" t="s">
        <v>98</v>
      </c>
      <c r="Q51" t="s">
        <v>99</v>
      </c>
    </row>
    <row r="52" spans="1:17" x14ac:dyDescent="0.25">
      <c r="A52">
        <v>8003879954</v>
      </c>
      <c r="B52">
        <v>24</v>
      </c>
      <c r="C52">
        <v>14042017</v>
      </c>
      <c r="D52">
        <v>299</v>
      </c>
      <c r="E52" t="s">
        <v>30</v>
      </c>
      <c r="F52">
        <v>9938</v>
      </c>
      <c r="G52" s="3">
        <v>15628563</v>
      </c>
      <c r="H52" s="1">
        <v>0.01</v>
      </c>
      <c r="I52" s="1" t="s">
        <v>28</v>
      </c>
      <c r="J52" s="1">
        <v>111124.91</v>
      </c>
      <c r="K52" t="s">
        <v>26</v>
      </c>
      <c r="L52">
        <v>165911</v>
      </c>
      <c r="M52" t="s">
        <v>100</v>
      </c>
      <c r="O52">
        <v>1</v>
      </c>
    </row>
    <row r="53" spans="1:17" x14ac:dyDescent="0.25">
      <c r="A53">
        <v>8003879954</v>
      </c>
      <c r="B53">
        <v>23</v>
      </c>
      <c r="C53">
        <v>14042017</v>
      </c>
      <c r="D53">
        <v>489</v>
      </c>
      <c r="E53" t="s">
        <v>31</v>
      </c>
      <c r="F53">
        <v>9938</v>
      </c>
      <c r="G53" s="3">
        <v>15628563</v>
      </c>
      <c r="H53" s="1">
        <v>0.1</v>
      </c>
      <c r="I53" s="1" t="s">
        <v>28</v>
      </c>
      <c r="J53" s="1">
        <v>111124.92</v>
      </c>
      <c r="K53" t="s">
        <v>26</v>
      </c>
      <c r="L53">
        <v>165911</v>
      </c>
      <c r="M53" t="s">
        <v>100</v>
      </c>
      <c r="O53">
        <v>1</v>
      </c>
    </row>
    <row r="54" spans="1:17" x14ac:dyDescent="0.25">
      <c r="A54">
        <v>8003879954</v>
      </c>
      <c r="B54">
        <v>22</v>
      </c>
      <c r="C54">
        <v>14042017</v>
      </c>
      <c r="D54">
        <v>341</v>
      </c>
      <c r="E54" t="s">
        <v>29</v>
      </c>
      <c r="F54">
        <v>9938</v>
      </c>
      <c r="G54" s="3">
        <v>15629021</v>
      </c>
      <c r="H54" s="1">
        <v>283.2</v>
      </c>
      <c r="I54" s="1" t="s">
        <v>28</v>
      </c>
      <c r="J54" s="1">
        <v>111125.02</v>
      </c>
      <c r="K54" t="s">
        <v>26</v>
      </c>
      <c r="L54">
        <v>165906</v>
      </c>
      <c r="M54" t="s">
        <v>101</v>
      </c>
      <c r="O54">
        <v>1</v>
      </c>
      <c r="P54" t="s">
        <v>102</v>
      </c>
      <c r="Q54" t="s">
        <v>103</v>
      </c>
    </row>
    <row r="55" spans="1:17" x14ac:dyDescent="0.25">
      <c r="A55">
        <v>8003879954</v>
      </c>
      <c r="B55">
        <v>21</v>
      </c>
      <c r="C55">
        <v>14042017</v>
      </c>
      <c r="D55">
        <v>299</v>
      </c>
      <c r="E55" t="s">
        <v>30</v>
      </c>
      <c r="F55">
        <v>9938</v>
      </c>
      <c r="G55" s="3">
        <v>15629021</v>
      </c>
      <c r="H55" s="1">
        <v>0.01</v>
      </c>
      <c r="I55" s="1" t="s">
        <v>28</v>
      </c>
      <c r="J55" s="1">
        <v>111408.22</v>
      </c>
      <c r="K55" t="s">
        <v>26</v>
      </c>
      <c r="L55">
        <v>165906</v>
      </c>
      <c r="M55" t="s">
        <v>104</v>
      </c>
      <c r="O55">
        <v>1</v>
      </c>
    </row>
    <row r="56" spans="1:17" x14ac:dyDescent="0.25">
      <c r="A56">
        <v>8003879954</v>
      </c>
      <c r="B56">
        <v>20</v>
      </c>
      <c r="C56">
        <v>14042017</v>
      </c>
      <c r="D56">
        <v>489</v>
      </c>
      <c r="E56" t="s">
        <v>31</v>
      </c>
      <c r="F56">
        <v>9938</v>
      </c>
      <c r="G56" s="3">
        <v>15629021</v>
      </c>
      <c r="H56" s="1">
        <v>0.1</v>
      </c>
      <c r="I56" s="1" t="s">
        <v>28</v>
      </c>
      <c r="J56" s="1">
        <v>111408.23</v>
      </c>
      <c r="K56" t="s">
        <v>26</v>
      </c>
      <c r="L56">
        <v>165906</v>
      </c>
      <c r="M56" t="s">
        <v>104</v>
      </c>
      <c r="O56">
        <v>1</v>
      </c>
    </row>
    <row r="57" spans="1:17" x14ac:dyDescent="0.25">
      <c r="A57">
        <v>8003879954</v>
      </c>
      <c r="B57">
        <v>19</v>
      </c>
      <c r="C57">
        <v>14042017</v>
      </c>
      <c r="D57">
        <v>341</v>
      </c>
      <c r="E57" t="s">
        <v>29</v>
      </c>
      <c r="F57">
        <v>9938</v>
      </c>
      <c r="G57" s="3">
        <v>15628688</v>
      </c>
      <c r="H57" s="1">
        <v>180</v>
      </c>
      <c r="I57" s="1" t="s">
        <v>28</v>
      </c>
      <c r="J57" s="1">
        <v>111408.33</v>
      </c>
      <c r="K57" t="s">
        <v>26</v>
      </c>
      <c r="L57">
        <v>165906</v>
      </c>
      <c r="M57" t="s">
        <v>105</v>
      </c>
      <c r="O57">
        <v>1</v>
      </c>
      <c r="P57" t="s">
        <v>106</v>
      </c>
      <c r="Q57" t="s">
        <v>107</v>
      </c>
    </row>
    <row r="58" spans="1:17" x14ac:dyDescent="0.25">
      <c r="A58">
        <v>8003879954</v>
      </c>
      <c r="B58">
        <v>18</v>
      </c>
      <c r="C58">
        <v>14042017</v>
      </c>
      <c r="D58">
        <v>299</v>
      </c>
      <c r="E58" t="s">
        <v>30</v>
      </c>
      <c r="F58">
        <v>9938</v>
      </c>
      <c r="G58" s="3">
        <v>15628688</v>
      </c>
      <c r="H58" s="1">
        <v>0.01</v>
      </c>
      <c r="I58" s="1" t="s">
        <v>28</v>
      </c>
      <c r="J58" s="1">
        <v>111588.33</v>
      </c>
      <c r="K58" t="s">
        <v>26</v>
      </c>
      <c r="L58">
        <v>165906</v>
      </c>
      <c r="M58" t="s">
        <v>108</v>
      </c>
      <c r="O58">
        <v>1</v>
      </c>
    </row>
    <row r="59" spans="1:17" x14ac:dyDescent="0.25">
      <c r="A59">
        <v>8003879954</v>
      </c>
      <c r="B59">
        <v>17</v>
      </c>
      <c r="C59">
        <v>14042017</v>
      </c>
      <c r="D59">
        <v>489</v>
      </c>
      <c r="E59" t="s">
        <v>31</v>
      </c>
      <c r="F59">
        <v>9938</v>
      </c>
      <c r="G59" s="3">
        <v>15628688</v>
      </c>
      <c r="H59" s="1">
        <v>0.1</v>
      </c>
      <c r="I59" s="1" t="s">
        <v>28</v>
      </c>
      <c r="J59" s="1">
        <v>111588.34</v>
      </c>
      <c r="K59" t="s">
        <v>26</v>
      </c>
      <c r="L59">
        <v>165906</v>
      </c>
      <c r="M59" t="s">
        <v>108</v>
      </c>
      <c r="O59">
        <v>1</v>
      </c>
    </row>
    <row r="60" spans="1:17" x14ac:dyDescent="0.25">
      <c r="A60">
        <v>8003879954</v>
      </c>
      <c r="B60">
        <v>16</v>
      </c>
      <c r="C60">
        <v>14042017</v>
      </c>
      <c r="D60">
        <v>341</v>
      </c>
      <c r="E60" t="s">
        <v>29</v>
      </c>
      <c r="F60">
        <v>9938</v>
      </c>
      <c r="G60" s="3">
        <v>15629217</v>
      </c>
      <c r="H60" s="1">
        <v>134.4</v>
      </c>
      <c r="I60" s="1" t="s">
        <v>28</v>
      </c>
      <c r="J60" s="1">
        <v>111588.44</v>
      </c>
      <c r="K60" t="s">
        <v>26</v>
      </c>
      <c r="L60">
        <v>165909</v>
      </c>
      <c r="M60" t="s">
        <v>109</v>
      </c>
      <c r="O60">
        <v>1</v>
      </c>
      <c r="P60" t="s">
        <v>110</v>
      </c>
      <c r="Q60" t="s">
        <v>111</v>
      </c>
    </row>
    <row r="61" spans="1:17" x14ac:dyDescent="0.25">
      <c r="A61">
        <v>8003879954</v>
      </c>
      <c r="B61">
        <v>15</v>
      </c>
      <c r="C61">
        <v>14042017</v>
      </c>
      <c r="D61">
        <v>299</v>
      </c>
      <c r="E61" t="s">
        <v>30</v>
      </c>
      <c r="F61">
        <v>9938</v>
      </c>
      <c r="G61" s="3">
        <v>15629217</v>
      </c>
      <c r="H61" s="1">
        <v>0.01</v>
      </c>
      <c r="I61" s="1" t="s">
        <v>28</v>
      </c>
      <c r="J61" s="1">
        <v>111722.84</v>
      </c>
      <c r="K61" t="s">
        <v>26</v>
      </c>
      <c r="L61">
        <v>165909</v>
      </c>
      <c r="M61" t="s">
        <v>112</v>
      </c>
      <c r="O61">
        <v>1</v>
      </c>
    </row>
    <row r="62" spans="1:17" x14ac:dyDescent="0.25">
      <c r="A62">
        <v>8003879954</v>
      </c>
      <c r="B62">
        <v>14</v>
      </c>
      <c r="C62">
        <v>14042017</v>
      </c>
      <c r="D62">
        <v>489</v>
      </c>
      <c r="E62" t="s">
        <v>31</v>
      </c>
      <c r="F62">
        <v>9938</v>
      </c>
      <c r="G62" s="3">
        <v>15629217</v>
      </c>
      <c r="H62" s="1">
        <v>0.1</v>
      </c>
      <c r="I62" s="1" t="s">
        <v>28</v>
      </c>
      <c r="J62" s="1">
        <v>111722.85</v>
      </c>
      <c r="K62" t="s">
        <v>26</v>
      </c>
      <c r="L62">
        <v>165909</v>
      </c>
      <c r="M62" t="s">
        <v>112</v>
      </c>
      <c r="O62">
        <v>1</v>
      </c>
    </row>
    <row r="63" spans="1:17" x14ac:dyDescent="0.25">
      <c r="A63">
        <v>8003879954</v>
      </c>
      <c r="B63">
        <v>13</v>
      </c>
      <c r="C63">
        <v>14042017</v>
      </c>
      <c r="D63">
        <v>341</v>
      </c>
      <c r="E63" t="s">
        <v>29</v>
      </c>
      <c r="F63">
        <v>9938</v>
      </c>
      <c r="G63" s="3">
        <v>15629290</v>
      </c>
      <c r="H63" s="1">
        <v>1335.6</v>
      </c>
      <c r="I63" s="1" t="s">
        <v>28</v>
      </c>
      <c r="J63" s="1">
        <v>111722.95</v>
      </c>
      <c r="K63" t="s">
        <v>26</v>
      </c>
      <c r="L63">
        <v>165906</v>
      </c>
      <c r="M63" t="s">
        <v>113</v>
      </c>
      <c r="O63">
        <v>1</v>
      </c>
      <c r="P63" t="s">
        <v>114</v>
      </c>
      <c r="Q63" t="s">
        <v>115</v>
      </c>
    </row>
    <row r="64" spans="1:17" x14ac:dyDescent="0.25">
      <c r="A64">
        <v>8003879954</v>
      </c>
      <c r="B64">
        <v>12</v>
      </c>
      <c r="C64">
        <v>14042017</v>
      </c>
      <c r="D64">
        <v>299</v>
      </c>
      <c r="E64" t="s">
        <v>30</v>
      </c>
      <c r="F64">
        <v>9938</v>
      </c>
      <c r="G64" s="3">
        <v>15629290</v>
      </c>
      <c r="H64" s="1">
        <v>0.01</v>
      </c>
      <c r="I64" s="1" t="s">
        <v>28</v>
      </c>
      <c r="J64" s="1">
        <v>113058.55</v>
      </c>
      <c r="K64" t="s">
        <v>26</v>
      </c>
      <c r="L64">
        <v>165906</v>
      </c>
      <c r="M64" t="s">
        <v>116</v>
      </c>
      <c r="O64">
        <v>1</v>
      </c>
    </row>
    <row r="65" spans="1:17" x14ac:dyDescent="0.25">
      <c r="A65">
        <v>8003879954</v>
      </c>
      <c r="B65">
        <v>11</v>
      </c>
      <c r="C65">
        <v>14042017</v>
      </c>
      <c r="D65">
        <v>489</v>
      </c>
      <c r="E65" t="s">
        <v>31</v>
      </c>
      <c r="F65">
        <v>9938</v>
      </c>
      <c r="G65" s="3">
        <v>15629290</v>
      </c>
      <c r="H65" s="1">
        <v>0.1</v>
      </c>
      <c r="I65" s="1" t="s">
        <v>28</v>
      </c>
      <c r="J65" s="1">
        <v>113058.56</v>
      </c>
      <c r="K65" t="s">
        <v>26</v>
      </c>
      <c r="L65">
        <v>165906</v>
      </c>
      <c r="M65" t="s">
        <v>116</v>
      </c>
      <c r="O65">
        <v>1</v>
      </c>
    </row>
    <row r="66" spans="1:17" x14ac:dyDescent="0.25">
      <c r="A66">
        <v>8003879954</v>
      </c>
      <c r="B66">
        <v>10</v>
      </c>
      <c r="C66">
        <v>14042017</v>
      </c>
      <c r="D66">
        <v>60</v>
      </c>
      <c r="E66" t="s">
        <v>43</v>
      </c>
      <c r="F66">
        <v>9938</v>
      </c>
      <c r="G66" s="3">
        <v>15628189</v>
      </c>
      <c r="H66" s="1">
        <v>3800</v>
      </c>
      <c r="I66" s="1" t="s">
        <v>28</v>
      </c>
      <c r="J66" s="1">
        <v>113058.66</v>
      </c>
      <c r="K66" t="s">
        <v>26</v>
      </c>
      <c r="L66">
        <v>165907</v>
      </c>
      <c r="M66" t="s">
        <v>117</v>
      </c>
      <c r="O66">
        <v>1</v>
      </c>
      <c r="P66" t="s">
        <v>118</v>
      </c>
      <c r="Q66" t="s">
        <v>119</v>
      </c>
    </row>
    <row r="67" spans="1:17" x14ac:dyDescent="0.25">
      <c r="A67">
        <v>8003879954</v>
      </c>
      <c r="B67">
        <v>9</v>
      </c>
      <c r="C67">
        <v>14042017</v>
      </c>
      <c r="D67">
        <v>341</v>
      </c>
      <c r="E67" t="s">
        <v>29</v>
      </c>
      <c r="F67">
        <v>9938</v>
      </c>
      <c r="G67" s="3">
        <v>15629100</v>
      </c>
      <c r="H67" s="1">
        <v>678.4</v>
      </c>
      <c r="I67" s="1" t="s">
        <v>28</v>
      </c>
      <c r="J67" s="1">
        <v>116858.66</v>
      </c>
      <c r="K67" t="s">
        <v>26</v>
      </c>
      <c r="L67">
        <v>165907</v>
      </c>
      <c r="M67" t="s">
        <v>120</v>
      </c>
      <c r="O67">
        <v>1</v>
      </c>
      <c r="P67" t="s">
        <v>121</v>
      </c>
      <c r="Q67" t="s">
        <v>122</v>
      </c>
    </row>
    <row r="68" spans="1:17" x14ac:dyDescent="0.25">
      <c r="A68">
        <v>8003879954</v>
      </c>
      <c r="B68">
        <v>8</v>
      </c>
      <c r="C68">
        <v>14042017</v>
      </c>
      <c r="D68">
        <v>299</v>
      </c>
      <c r="E68" t="s">
        <v>30</v>
      </c>
      <c r="F68">
        <v>9938</v>
      </c>
      <c r="G68" s="3">
        <v>15629100</v>
      </c>
      <c r="H68" s="1">
        <v>0.01</v>
      </c>
      <c r="I68" s="1" t="s">
        <v>28</v>
      </c>
      <c r="J68" s="1">
        <v>117537.06</v>
      </c>
      <c r="K68" t="s">
        <v>26</v>
      </c>
      <c r="L68">
        <v>165907</v>
      </c>
      <c r="M68" t="s">
        <v>123</v>
      </c>
      <c r="O68">
        <v>1</v>
      </c>
    </row>
    <row r="69" spans="1:17" x14ac:dyDescent="0.25">
      <c r="A69">
        <v>8003879954</v>
      </c>
      <c r="B69">
        <v>7</v>
      </c>
      <c r="C69">
        <v>14042017</v>
      </c>
      <c r="D69">
        <v>489</v>
      </c>
      <c r="E69" t="s">
        <v>31</v>
      </c>
      <c r="F69">
        <v>9938</v>
      </c>
      <c r="G69" s="3">
        <v>15629100</v>
      </c>
      <c r="H69" s="1">
        <v>0.1</v>
      </c>
      <c r="I69" s="1" t="s">
        <v>28</v>
      </c>
      <c r="J69" s="1">
        <v>117537.07</v>
      </c>
      <c r="K69" t="s">
        <v>26</v>
      </c>
      <c r="L69">
        <v>165907</v>
      </c>
      <c r="M69" t="s">
        <v>123</v>
      </c>
      <c r="O69">
        <v>1</v>
      </c>
    </row>
    <row r="70" spans="1:17" x14ac:dyDescent="0.25">
      <c r="A70">
        <v>8003879954</v>
      </c>
      <c r="B70">
        <v>6</v>
      </c>
      <c r="C70">
        <v>14042017</v>
      </c>
      <c r="D70">
        <v>341</v>
      </c>
      <c r="E70" t="s">
        <v>29</v>
      </c>
      <c r="F70">
        <v>9938</v>
      </c>
      <c r="G70" s="3">
        <v>15628337</v>
      </c>
      <c r="H70" s="1">
        <v>1680</v>
      </c>
      <c r="I70" s="1" t="s">
        <v>28</v>
      </c>
      <c r="J70" s="1">
        <v>117537.17</v>
      </c>
      <c r="K70" t="s">
        <v>26</v>
      </c>
      <c r="L70">
        <v>165906</v>
      </c>
      <c r="M70" t="s">
        <v>124</v>
      </c>
      <c r="O70">
        <v>1</v>
      </c>
      <c r="P70" t="s">
        <v>125</v>
      </c>
      <c r="Q70" t="s">
        <v>126</v>
      </c>
    </row>
    <row r="71" spans="1:17" x14ac:dyDescent="0.25">
      <c r="A71">
        <v>8003879954</v>
      </c>
      <c r="B71">
        <v>5</v>
      </c>
      <c r="C71">
        <v>14042017</v>
      </c>
      <c r="D71">
        <v>299</v>
      </c>
      <c r="E71" t="s">
        <v>30</v>
      </c>
      <c r="F71">
        <v>9938</v>
      </c>
      <c r="G71" s="3">
        <v>15628337</v>
      </c>
      <c r="H71" s="1">
        <v>0.01</v>
      </c>
      <c r="I71" s="1" t="s">
        <v>28</v>
      </c>
      <c r="J71" s="1">
        <v>119217.17</v>
      </c>
      <c r="K71" t="s">
        <v>26</v>
      </c>
      <c r="L71">
        <v>165906</v>
      </c>
      <c r="M71" t="s">
        <v>127</v>
      </c>
      <c r="O71">
        <v>1</v>
      </c>
    </row>
    <row r="72" spans="1:17" x14ac:dyDescent="0.25">
      <c r="A72">
        <v>8003879954</v>
      </c>
      <c r="B72">
        <v>4</v>
      </c>
      <c r="C72">
        <v>14042017</v>
      </c>
      <c r="D72">
        <v>489</v>
      </c>
      <c r="E72" t="s">
        <v>31</v>
      </c>
      <c r="F72">
        <v>9938</v>
      </c>
      <c r="G72" s="3">
        <v>15628337</v>
      </c>
      <c r="H72" s="1">
        <v>0.1</v>
      </c>
      <c r="I72" s="1" t="s">
        <v>28</v>
      </c>
      <c r="J72" s="1">
        <v>119217.18</v>
      </c>
      <c r="K72" t="s">
        <v>26</v>
      </c>
      <c r="L72">
        <v>165906</v>
      </c>
      <c r="M72" t="s">
        <v>127</v>
      </c>
      <c r="O72">
        <v>1</v>
      </c>
    </row>
    <row r="73" spans="1:17" x14ac:dyDescent="0.25">
      <c r="A73">
        <v>8003879954</v>
      </c>
      <c r="B73">
        <v>3</v>
      </c>
      <c r="C73">
        <v>14042017</v>
      </c>
      <c r="D73">
        <v>341</v>
      </c>
      <c r="E73" t="s">
        <v>29</v>
      </c>
      <c r="F73">
        <v>9938</v>
      </c>
      <c r="G73" s="3">
        <v>15629171</v>
      </c>
      <c r="H73" s="1">
        <v>1470.75</v>
      </c>
      <c r="I73" s="1" t="s">
        <v>28</v>
      </c>
      <c r="J73" s="1">
        <v>119217.28</v>
      </c>
      <c r="K73" t="s">
        <v>26</v>
      </c>
      <c r="L73">
        <v>165906</v>
      </c>
      <c r="M73" t="s">
        <v>128</v>
      </c>
      <c r="O73">
        <v>1</v>
      </c>
      <c r="P73" t="s">
        <v>129</v>
      </c>
      <c r="Q73" t="s">
        <v>130</v>
      </c>
    </row>
    <row r="74" spans="1:17" x14ac:dyDescent="0.25">
      <c r="A74">
        <v>8003879954</v>
      </c>
      <c r="B74">
        <v>2</v>
      </c>
      <c r="C74">
        <v>14042017</v>
      </c>
      <c r="D74">
        <v>299</v>
      </c>
      <c r="E74" t="s">
        <v>30</v>
      </c>
      <c r="F74">
        <v>9938</v>
      </c>
      <c r="G74" s="3">
        <v>15629171</v>
      </c>
      <c r="H74" s="1">
        <v>0.01</v>
      </c>
      <c r="I74" s="1" t="s">
        <v>28</v>
      </c>
      <c r="J74" s="1">
        <v>120688.03</v>
      </c>
      <c r="K74" t="s">
        <v>26</v>
      </c>
      <c r="L74">
        <v>165906</v>
      </c>
      <c r="M74" t="s">
        <v>131</v>
      </c>
      <c r="O74">
        <v>1</v>
      </c>
    </row>
    <row r="75" spans="1:17" x14ac:dyDescent="0.25">
      <c r="A75">
        <v>8003879954</v>
      </c>
      <c r="B75">
        <v>1</v>
      </c>
      <c r="C75">
        <v>14042017</v>
      </c>
      <c r="D75">
        <v>489</v>
      </c>
      <c r="E75" t="s">
        <v>31</v>
      </c>
      <c r="F75">
        <v>9938</v>
      </c>
      <c r="G75" s="3">
        <v>15629171</v>
      </c>
      <c r="H75" s="1">
        <v>0.1</v>
      </c>
      <c r="I75" s="1" t="s">
        <v>28</v>
      </c>
      <c r="J75" s="1">
        <v>120688.04</v>
      </c>
      <c r="K75" t="s">
        <v>26</v>
      </c>
      <c r="L75">
        <v>165906</v>
      </c>
      <c r="M75" t="s">
        <v>131</v>
      </c>
      <c r="O75">
        <v>1</v>
      </c>
    </row>
    <row r="76" spans="1:17" x14ac:dyDescent="0.25">
      <c r="A76">
        <v>8003879954</v>
      </c>
      <c r="B76">
        <v>12</v>
      </c>
      <c r="C76">
        <v>13042017</v>
      </c>
      <c r="D76">
        <v>299</v>
      </c>
      <c r="E76" t="s">
        <v>30</v>
      </c>
      <c r="G76"/>
      <c r="H76" s="1">
        <v>0.18</v>
      </c>
      <c r="I76" t="s">
        <v>28</v>
      </c>
      <c r="J76" s="1">
        <v>120688.14</v>
      </c>
      <c r="K76" t="s">
        <v>26</v>
      </c>
      <c r="L76">
        <v>10242</v>
      </c>
      <c r="M76" t="str">
        <f>""</f>
        <v/>
      </c>
      <c r="O76">
        <v>1</v>
      </c>
    </row>
    <row r="77" spans="1:17" x14ac:dyDescent="0.25">
      <c r="A77">
        <v>8003879954</v>
      </c>
      <c r="B77">
        <v>11</v>
      </c>
      <c r="C77">
        <v>13042017</v>
      </c>
      <c r="D77">
        <v>819</v>
      </c>
      <c r="E77" t="s">
        <v>32</v>
      </c>
      <c r="G77"/>
      <c r="H77" s="1">
        <v>3</v>
      </c>
      <c r="I77" t="s">
        <v>28</v>
      </c>
      <c r="J77" s="1">
        <v>120688.32000000001</v>
      </c>
      <c r="K77" t="s">
        <v>26</v>
      </c>
      <c r="L77">
        <v>10242</v>
      </c>
      <c r="M77" t="str">
        <f>""</f>
        <v/>
      </c>
      <c r="O77">
        <v>1</v>
      </c>
    </row>
    <row r="78" spans="1:17" x14ac:dyDescent="0.25">
      <c r="A78">
        <v>8003879954</v>
      </c>
      <c r="B78">
        <v>10</v>
      </c>
      <c r="C78">
        <v>13042017</v>
      </c>
      <c r="D78">
        <v>323</v>
      </c>
      <c r="E78" t="s">
        <v>33</v>
      </c>
      <c r="F78">
        <v>0</v>
      </c>
      <c r="G78">
        <v>687930</v>
      </c>
      <c r="H78" s="1">
        <v>400000</v>
      </c>
      <c r="I78" t="s">
        <v>28</v>
      </c>
      <c r="J78" s="1">
        <v>120691.32</v>
      </c>
      <c r="K78" t="s">
        <v>26</v>
      </c>
      <c r="L78">
        <v>10030</v>
      </c>
      <c r="M78" t="str">
        <f>""</f>
        <v/>
      </c>
      <c r="O78">
        <v>1</v>
      </c>
    </row>
    <row r="79" spans="1:17" x14ac:dyDescent="0.25">
      <c r="A79">
        <v>8003879954</v>
      </c>
      <c r="B79">
        <v>9</v>
      </c>
      <c r="C79">
        <v>13042017</v>
      </c>
      <c r="D79">
        <v>323</v>
      </c>
      <c r="E79" t="s">
        <v>33</v>
      </c>
      <c r="F79">
        <v>0</v>
      </c>
      <c r="G79">
        <v>687927</v>
      </c>
      <c r="H79" s="1">
        <v>22992.52</v>
      </c>
      <c r="I79" t="s">
        <v>28</v>
      </c>
      <c r="J79" s="1">
        <v>520691.32</v>
      </c>
      <c r="K79" t="s">
        <v>26</v>
      </c>
      <c r="L79">
        <v>10030</v>
      </c>
      <c r="M79" t="str">
        <f>""</f>
        <v/>
      </c>
      <c r="O79">
        <v>1</v>
      </c>
    </row>
    <row r="80" spans="1:17" x14ac:dyDescent="0.25">
      <c r="A80">
        <v>8003879954</v>
      </c>
      <c r="B80">
        <v>8</v>
      </c>
      <c r="C80">
        <v>13042017</v>
      </c>
      <c r="D80">
        <v>323</v>
      </c>
      <c r="E80" t="s">
        <v>33</v>
      </c>
      <c r="F80">
        <v>0</v>
      </c>
      <c r="G80">
        <v>687926</v>
      </c>
      <c r="H80" s="1">
        <v>14452</v>
      </c>
      <c r="I80" t="s">
        <v>28</v>
      </c>
      <c r="J80" s="1">
        <v>543683.83999999997</v>
      </c>
      <c r="K80" t="s">
        <v>26</v>
      </c>
      <c r="L80">
        <v>10030</v>
      </c>
      <c r="M80" t="str">
        <f>""</f>
        <v/>
      </c>
      <c r="O80">
        <v>1</v>
      </c>
    </row>
    <row r="81" spans="1:15" x14ac:dyDescent="0.25">
      <c r="A81">
        <v>8003879954</v>
      </c>
      <c r="B81">
        <v>7</v>
      </c>
      <c r="C81">
        <v>13042017</v>
      </c>
      <c r="D81">
        <v>323</v>
      </c>
      <c r="E81" t="s">
        <v>33</v>
      </c>
      <c r="F81">
        <v>0</v>
      </c>
      <c r="G81">
        <v>687924</v>
      </c>
      <c r="H81" s="1">
        <v>212000</v>
      </c>
      <c r="I81" t="s">
        <v>28</v>
      </c>
      <c r="J81" s="1">
        <v>558135.84</v>
      </c>
      <c r="K81" t="s">
        <v>26</v>
      </c>
      <c r="L81">
        <v>10030</v>
      </c>
      <c r="M81" t="str">
        <f>""</f>
        <v/>
      </c>
      <c r="O81">
        <v>1</v>
      </c>
    </row>
    <row r="82" spans="1:15" x14ac:dyDescent="0.25">
      <c r="A82">
        <v>8003879954</v>
      </c>
      <c r="B82">
        <v>6</v>
      </c>
      <c r="C82">
        <v>13042017</v>
      </c>
      <c r="D82">
        <v>323</v>
      </c>
      <c r="E82" t="s">
        <v>33</v>
      </c>
      <c r="F82">
        <v>0</v>
      </c>
      <c r="G82">
        <v>687923</v>
      </c>
      <c r="H82" s="1">
        <v>393118.59</v>
      </c>
      <c r="I82" t="s">
        <v>28</v>
      </c>
      <c r="J82" s="1">
        <v>770135.84</v>
      </c>
      <c r="K82" t="s">
        <v>26</v>
      </c>
      <c r="L82">
        <v>10030</v>
      </c>
      <c r="M82" t="str">
        <f>""</f>
        <v/>
      </c>
      <c r="O82">
        <v>1</v>
      </c>
    </row>
    <row r="83" spans="1:15" x14ac:dyDescent="0.25">
      <c r="A83">
        <v>8003879954</v>
      </c>
      <c r="B83">
        <v>5</v>
      </c>
      <c r="C83">
        <v>13042017</v>
      </c>
      <c r="D83">
        <v>323</v>
      </c>
      <c r="E83" t="s">
        <v>33</v>
      </c>
      <c r="F83">
        <v>0</v>
      </c>
      <c r="G83">
        <v>687922</v>
      </c>
      <c r="H83" s="1">
        <v>400000</v>
      </c>
      <c r="I83" t="s">
        <v>28</v>
      </c>
      <c r="J83" s="1">
        <v>1163254.43</v>
      </c>
      <c r="K83" t="s">
        <v>26</v>
      </c>
      <c r="L83">
        <v>10030</v>
      </c>
      <c r="M83" t="str">
        <f>""</f>
        <v/>
      </c>
      <c r="O83">
        <v>1</v>
      </c>
    </row>
    <row r="84" spans="1:15" x14ac:dyDescent="0.25">
      <c r="A84">
        <v>8003879954</v>
      </c>
      <c r="B84">
        <v>4</v>
      </c>
      <c r="C84">
        <v>13042017</v>
      </c>
      <c r="D84">
        <v>123</v>
      </c>
      <c r="E84" t="s">
        <v>38</v>
      </c>
      <c r="F84">
        <v>2007</v>
      </c>
      <c r="G84">
        <v>24461533</v>
      </c>
      <c r="H84" s="1">
        <v>750</v>
      </c>
      <c r="I84" t="s">
        <v>26</v>
      </c>
      <c r="J84" s="1">
        <v>1563254.43</v>
      </c>
      <c r="K84" t="s">
        <v>26</v>
      </c>
      <c r="L84">
        <v>140954</v>
      </c>
      <c r="M84" t="str">
        <f>""</f>
        <v/>
      </c>
      <c r="O84">
        <v>1</v>
      </c>
    </row>
    <row r="85" spans="1:15" x14ac:dyDescent="0.25">
      <c r="A85">
        <v>8003879954</v>
      </c>
      <c r="B85">
        <v>3</v>
      </c>
      <c r="C85">
        <v>13042017</v>
      </c>
      <c r="D85">
        <v>299</v>
      </c>
      <c r="E85" t="s">
        <v>44</v>
      </c>
      <c r="F85">
        <v>141</v>
      </c>
      <c r="G85">
        <v>915512722</v>
      </c>
      <c r="H85" s="4">
        <v>0.36</v>
      </c>
      <c r="I85" t="s">
        <v>28</v>
      </c>
      <c r="J85" s="1">
        <v>1562504.43</v>
      </c>
      <c r="K85" t="s">
        <v>26</v>
      </c>
      <c r="L85">
        <v>124442</v>
      </c>
      <c r="M85" t="str">
        <f>"20015130417T0179    /ACC/CHULIA STREET"</f>
        <v>20015130417T0179    /ACC/CHULIA STREET</v>
      </c>
      <c r="O85">
        <v>1</v>
      </c>
    </row>
    <row r="86" spans="1:15" x14ac:dyDescent="0.25">
      <c r="A86">
        <v>8003879954</v>
      </c>
      <c r="B86">
        <v>2</v>
      </c>
      <c r="C86">
        <v>13042017</v>
      </c>
      <c r="D86">
        <v>415</v>
      </c>
      <c r="E86" t="s">
        <v>52</v>
      </c>
      <c r="F86">
        <v>141</v>
      </c>
      <c r="G86">
        <v>915512722</v>
      </c>
      <c r="H86" s="4">
        <v>6</v>
      </c>
      <c r="I86" t="s">
        <v>28</v>
      </c>
      <c r="J86" s="1">
        <v>1562504.79</v>
      </c>
      <c r="K86" t="s">
        <v>26</v>
      </c>
      <c r="L86">
        <v>124442</v>
      </c>
      <c r="M86" t="str">
        <f>"20015130417T0179    /ACC/CHULIA STREET"</f>
        <v>20015130417T0179    /ACC/CHULIA STREET</v>
      </c>
      <c r="O86">
        <v>1</v>
      </c>
    </row>
    <row r="87" spans="1:15" x14ac:dyDescent="0.25">
      <c r="A87">
        <v>8003879954</v>
      </c>
      <c r="B87">
        <v>1</v>
      </c>
      <c r="C87">
        <v>13042017</v>
      </c>
      <c r="D87">
        <v>349</v>
      </c>
      <c r="E87" t="s">
        <v>35</v>
      </c>
      <c r="F87">
        <v>141</v>
      </c>
      <c r="G87">
        <v>915512722</v>
      </c>
      <c r="H87" s="1">
        <v>4813.1400000000003</v>
      </c>
      <c r="I87" t="s">
        <v>28</v>
      </c>
      <c r="J87" s="1">
        <v>1562510.79</v>
      </c>
      <c r="K87" t="s">
        <v>26</v>
      </c>
      <c r="L87">
        <v>124442</v>
      </c>
      <c r="M87" t="str">
        <f>"20015130417T0179    /ACC/CHULIA STREET"</f>
        <v>20015130417T0179    /ACC/CHULIA STREET</v>
      </c>
      <c r="O87">
        <v>1</v>
      </c>
    </row>
    <row r="88" spans="1:15" x14ac:dyDescent="0.25">
      <c r="A88">
        <v>8003879954</v>
      </c>
      <c r="B88">
        <v>74</v>
      </c>
      <c r="C88">
        <v>12042017</v>
      </c>
      <c r="D88">
        <v>299</v>
      </c>
      <c r="E88" t="s">
        <v>30</v>
      </c>
      <c r="G88"/>
      <c r="H88" s="1">
        <v>0.03</v>
      </c>
      <c r="I88" t="s">
        <v>28</v>
      </c>
      <c r="J88" s="1">
        <v>1567323.93</v>
      </c>
      <c r="K88" t="s">
        <v>26</v>
      </c>
      <c r="L88">
        <v>10500</v>
      </c>
      <c r="M88" t="str">
        <f>""</f>
        <v/>
      </c>
      <c r="O88">
        <v>1</v>
      </c>
    </row>
    <row r="89" spans="1:15" x14ac:dyDescent="0.25">
      <c r="A89">
        <v>8003879954</v>
      </c>
      <c r="B89">
        <v>73</v>
      </c>
      <c r="C89">
        <v>12042017</v>
      </c>
      <c r="D89">
        <v>819</v>
      </c>
      <c r="E89" t="s">
        <v>32</v>
      </c>
      <c r="G89"/>
      <c r="H89" s="1">
        <v>0.5</v>
      </c>
      <c r="I89" t="s">
        <v>28</v>
      </c>
      <c r="J89" s="1">
        <v>1567323.96</v>
      </c>
      <c r="K89" t="s">
        <v>26</v>
      </c>
      <c r="L89">
        <v>10500</v>
      </c>
      <c r="M89" t="str">
        <f>""</f>
        <v/>
      </c>
      <c r="O89">
        <v>1</v>
      </c>
    </row>
    <row r="90" spans="1:15" x14ac:dyDescent="0.25">
      <c r="A90">
        <v>8003879954</v>
      </c>
      <c r="B90">
        <v>72</v>
      </c>
      <c r="C90">
        <v>12042017</v>
      </c>
      <c r="D90">
        <v>299</v>
      </c>
      <c r="E90" t="s">
        <v>30</v>
      </c>
      <c r="G90"/>
      <c r="H90" s="1">
        <v>0.12</v>
      </c>
      <c r="I90" t="s">
        <v>28</v>
      </c>
      <c r="J90" s="1">
        <v>1567324.46</v>
      </c>
      <c r="K90" t="s">
        <v>26</v>
      </c>
      <c r="L90">
        <v>10500</v>
      </c>
      <c r="M90" t="str">
        <f>""</f>
        <v/>
      </c>
      <c r="O90">
        <v>1</v>
      </c>
    </row>
    <row r="91" spans="1:15" x14ac:dyDescent="0.25">
      <c r="A91">
        <v>8003879954</v>
      </c>
      <c r="B91">
        <v>71</v>
      </c>
      <c r="C91">
        <v>12042017</v>
      </c>
      <c r="D91">
        <v>819</v>
      </c>
      <c r="E91" t="s">
        <v>32</v>
      </c>
      <c r="G91"/>
      <c r="H91" s="1">
        <v>2</v>
      </c>
      <c r="I91" t="s">
        <v>28</v>
      </c>
      <c r="J91" s="1">
        <v>1567324.58</v>
      </c>
      <c r="K91" t="s">
        <v>26</v>
      </c>
      <c r="L91">
        <v>10500</v>
      </c>
      <c r="M91" t="str">
        <f>""</f>
        <v/>
      </c>
      <c r="O91">
        <v>1</v>
      </c>
    </row>
    <row r="92" spans="1:15" x14ac:dyDescent="0.25">
      <c r="A92">
        <v>8003879954</v>
      </c>
      <c r="B92">
        <v>70</v>
      </c>
      <c r="C92">
        <v>12042017</v>
      </c>
      <c r="D92">
        <v>321</v>
      </c>
      <c r="E92" t="s">
        <v>37</v>
      </c>
      <c r="F92">
        <v>0</v>
      </c>
      <c r="G92">
        <v>687925</v>
      </c>
      <c r="H92" s="1">
        <v>24168</v>
      </c>
      <c r="I92" t="s">
        <v>28</v>
      </c>
      <c r="J92" s="1">
        <v>1567326.58</v>
      </c>
      <c r="K92" t="s">
        <v>26</v>
      </c>
      <c r="L92">
        <v>10213</v>
      </c>
      <c r="M92" t="str">
        <f>""</f>
        <v/>
      </c>
      <c r="O92">
        <v>1</v>
      </c>
    </row>
    <row r="93" spans="1:15" x14ac:dyDescent="0.25">
      <c r="A93">
        <v>8003879954</v>
      </c>
      <c r="B93">
        <v>69</v>
      </c>
      <c r="C93">
        <v>12042017</v>
      </c>
      <c r="D93">
        <v>323</v>
      </c>
      <c r="E93" t="s">
        <v>33</v>
      </c>
      <c r="F93">
        <v>0</v>
      </c>
      <c r="G93">
        <v>687919</v>
      </c>
      <c r="H93" s="1">
        <v>28850</v>
      </c>
      <c r="I93" t="s">
        <v>28</v>
      </c>
      <c r="J93" s="1">
        <v>1591494.58</v>
      </c>
      <c r="K93" t="s">
        <v>26</v>
      </c>
      <c r="L93">
        <v>10213</v>
      </c>
      <c r="M93" t="str">
        <f>""</f>
        <v/>
      </c>
      <c r="O93">
        <v>1</v>
      </c>
    </row>
    <row r="94" spans="1:15" x14ac:dyDescent="0.25">
      <c r="A94">
        <v>8003879954</v>
      </c>
      <c r="B94">
        <v>68</v>
      </c>
      <c r="C94">
        <v>12042017</v>
      </c>
      <c r="D94">
        <v>323</v>
      </c>
      <c r="E94" t="s">
        <v>33</v>
      </c>
      <c r="F94">
        <v>0</v>
      </c>
      <c r="G94">
        <v>687913</v>
      </c>
      <c r="H94" s="1">
        <v>15833.62</v>
      </c>
      <c r="I94" t="s">
        <v>28</v>
      </c>
      <c r="J94" s="1">
        <v>1620344.58</v>
      </c>
      <c r="K94" t="s">
        <v>26</v>
      </c>
      <c r="L94">
        <v>10212</v>
      </c>
      <c r="M94" t="str">
        <f>""</f>
        <v/>
      </c>
      <c r="O94">
        <v>1</v>
      </c>
    </row>
    <row r="95" spans="1:15" x14ac:dyDescent="0.25">
      <c r="A95">
        <v>8003879954</v>
      </c>
      <c r="B95">
        <v>67</v>
      </c>
      <c r="C95">
        <v>12042017</v>
      </c>
      <c r="D95">
        <v>323</v>
      </c>
      <c r="E95" t="s">
        <v>33</v>
      </c>
      <c r="F95">
        <v>0</v>
      </c>
      <c r="G95">
        <v>687899</v>
      </c>
      <c r="H95" s="1">
        <v>1527.5</v>
      </c>
      <c r="I95" t="s">
        <v>28</v>
      </c>
      <c r="J95" s="1">
        <v>1636178.2</v>
      </c>
      <c r="K95" t="s">
        <v>26</v>
      </c>
      <c r="L95">
        <v>10212</v>
      </c>
      <c r="M95" t="str">
        <f>""</f>
        <v/>
      </c>
      <c r="O95">
        <v>1</v>
      </c>
    </row>
    <row r="96" spans="1:15" x14ac:dyDescent="0.25">
      <c r="A96">
        <v>8003879954</v>
      </c>
      <c r="B96">
        <v>66</v>
      </c>
      <c r="C96">
        <v>12042017</v>
      </c>
      <c r="D96">
        <v>323</v>
      </c>
      <c r="E96" t="s">
        <v>33</v>
      </c>
      <c r="F96">
        <v>0</v>
      </c>
      <c r="G96">
        <v>687898</v>
      </c>
      <c r="H96" s="1">
        <v>21013</v>
      </c>
      <c r="I96" t="s">
        <v>28</v>
      </c>
      <c r="J96" s="1">
        <v>1637705.7</v>
      </c>
      <c r="K96" t="s">
        <v>26</v>
      </c>
      <c r="L96">
        <v>10212</v>
      </c>
      <c r="M96" t="str">
        <f>""</f>
        <v/>
      </c>
      <c r="O96">
        <v>1</v>
      </c>
    </row>
    <row r="97" spans="1:17" x14ac:dyDescent="0.25">
      <c r="A97">
        <v>8003879954</v>
      </c>
      <c r="B97">
        <v>65</v>
      </c>
      <c r="C97">
        <v>12042017</v>
      </c>
      <c r="D97">
        <v>341</v>
      </c>
      <c r="E97" t="s">
        <v>29</v>
      </c>
      <c r="F97">
        <v>9938</v>
      </c>
      <c r="G97">
        <v>15507038</v>
      </c>
      <c r="H97" s="1">
        <v>142.04</v>
      </c>
      <c r="I97" t="s">
        <v>28</v>
      </c>
      <c r="J97" s="1">
        <v>1658718.7</v>
      </c>
      <c r="K97" t="s">
        <v>26</v>
      </c>
      <c r="L97">
        <v>161121</v>
      </c>
      <c r="M97" t="str">
        <f>"TOONG LI STATIONERY"</f>
        <v>TOONG LI STATIONERY</v>
      </c>
      <c r="O97">
        <v>1</v>
      </c>
      <c r="P97" t="str">
        <f>"PGTEFT2225"</f>
        <v>PGTEFT2225</v>
      </c>
      <c r="Q97" t="str">
        <f>"IV-126227"</f>
        <v>IV-126227</v>
      </c>
    </row>
    <row r="98" spans="1:17" x14ac:dyDescent="0.25">
      <c r="A98">
        <v>8003879954</v>
      </c>
      <c r="B98">
        <v>64</v>
      </c>
      <c r="C98">
        <v>12042017</v>
      </c>
      <c r="D98">
        <v>299</v>
      </c>
      <c r="E98" t="s">
        <v>30</v>
      </c>
      <c r="F98">
        <v>9938</v>
      </c>
      <c r="G98">
        <v>15507038</v>
      </c>
      <c r="H98" s="1">
        <v>0.01</v>
      </c>
      <c r="I98" t="s">
        <v>28</v>
      </c>
      <c r="J98" s="1">
        <v>1658860.74</v>
      </c>
      <c r="K98" t="s">
        <v>26</v>
      </c>
      <c r="L98">
        <v>161121</v>
      </c>
      <c r="M98" t="str">
        <f>"PGTEFT2225          IV-126227"</f>
        <v>PGTEFT2225          IV-126227</v>
      </c>
      <c r="O98">
        <v>1</v>
      </c>
    </row>
    <row r="99" spans="1:17" x14ac:dyDescent="0.25">
      <c r="A99">
        <v>8003879954</v>
      </c>
      <c r="B99">
        <v>63</v>
      </c>
      <c r="C99">
        <v>12042017</v>
      </c>
      <c r="D99">
        <v>489</v>
      </c>
      <c r="E99" t="s">
        <v>31</v>
      </c>
      <c r="F99">
        <v>9938</v>
      </c>
      <c r="G99">
        <v>15507038</v>
      </c>
      <c r="H99" s="1">
        <v>0.1</v>
      </c>
      <c r="I99" t="s">
        <v>28</v>
      </c>
      <c r="J99" s="1">
        <v>1658860.75</v>
      </c>
      <c r="K99" t="s">
        <v>26</v>
      </c>
      <c r="L99">
        <v>161121</v>
      </c>
      <c r="M99" t="str">
        <f>"PGTEFT2225          IV-126227"</f>
        <v>PGTEFT2225          IV-126227</v>
      </c>
      <c r="O99">
        <v>1</v>
      </c>
    </row>
    <row r="100" spans="1:17" x14ac:dyDescent="0.25">
      <c r="A100">
        <v>8003879954</v>
      </c>
      <c r="B100">
        <v>62</v>
      </c>
      <c r="C100">
        <v>12042017</v>
      </c>
      <c r="D100">
        <v>341</v>
      </c>
      <c r="E100" t="s">
        <v>29</v>
      </c>
      <c r="F100">
        <v>9938</v>
      </c>
      <c r="G100">
        <v>15509650</v>
      </c>
      <c r="H100" s="1">
        <v>159</v>
      </c>
      <c r="I100" t="s">
        <v>28</v>
      </c>
      <c r="J100" s="1">
        <v>1658860.85</v>
      </c>
      <c r="K100" t="s">
        <v>26</v>
      </c>
      <c r="L100">
        <v>161115</v>
      </c>
      <c r="M100" t="str">
        <f>"ELITE TRANSLATION AS"</f>
        <v>ELITE TRANSLATION AS</v>
      </c>
      <c r="O100">
        <v>1</v>
      </c>
      <c r="P100" t="str">
        <f>"PGTEFT2212"</f>
        <v>PGTEFT2212</v>
      </c>
      <c r="Q100" t="str">
        <f>"S1703016"</f>
        <v>S1703016</v>
      </c>
    </row>
    <row r="101" spans="1:17" x14ac:dyDescent="0.25">
      <c r="A101">
        <v>8003879954</v>
      </c>
      <c r="B101">
        <v>61</v>
      </c>
      <c r="C101">
        <v>12042017</v>
      </c>
      <c r="D101">
        <v>299</v>
      </c>
      <c r="E101" t="s">
        <v>30</v>
      </c>
      <c r="F101">
        <v>9938</v>
      </c>
      <c r="G101">
        <v>15509650</v>
      </c>
      <c r="H101" s="1">
        <v>0.01</v>
      </c>
      <c r="I101" t="s">
        <v>28</v>
      </c>
      <c r="J101" s="1">
        <v>1659019.85</v>
      </c>
      <c r="K101" t="s">
        <v>26</v>
      </c>
      <c r="L101">
        <v>161115</v>
      </c>
      <c r="M101" t="str">
        <f>"PGTEFT2212          S1703016"</f>
        <v>PGTEFT2212          S1703016</v>
      </c>
      <c r="O101">
        <v>1</v>
      </c>
    </row>
    <row r="102" spans="1:17" x14ac:dyDescent="0.25">
      <c r="A102">
        <v>8003879954</v>
      </c>
      <c r="B102">
        <v>60</v>
      </c>
      <c r="C102">
        <v>12042017</v>
      </c>
      <c r="D102">
        <v>489</v>
      </c>
      <c r="E102" t="s">
        <v>31</v>
      </c>
      <c r="F102">
        <v>9938</v>
      </c>
      <c r="G102">
        <v>15509650</v>
      </c>
      <c r="H102" s="1">
        <v>0.1</v>
      </c>
      <c r="I102" t="s">
        <v>28</v>
      </c>
      <c r="J102" s="1">
        <v>1659019.86</v>
      </c>
      <c r="K102" t="s">
        <v>26</v>
      </c>
      <c r="L102">
        <v>161115</v>
      </c>
      <c r="M102" t="str">
        <f>"PGTEFT2212          S1703016"</f>
        <v>PGTEFT2212          S1703016</v>
      </c>
      <c r="O102">
        <v>1</v>
      </c>
    </row>
    <row r="103" spans="1:17" x14ac:dyDescent="0.25">
      <c r="A103">
        <v>8003879954</v>
      </c>
      <c r="B103">
        <v>59</v>
      </c>
      <c r="C103">
        <v>12042017</v>
      </c>
      <c r="D103">
        <v>341</v>
      </c>
      <c r="E103" t="s">
        <v>29</v>
      </c>
      <c r="F103">
        <v>9938</v>
      </c>
      <c r="G103">
        <v>15500357</v>
      </c>
      <c r="H103" s="1">
        <v>159</v>
      </c>
      <c r="I103" t="s">
        <v>28</v>
      </c>
      <c r="J103" s="1">
        <v>1659019.96</v>
      </c>
      <c r="K103" t="s">
        <v>26</v>
      </c>
      <c r="L103">
        <v>161113</v>
      </c>
      <c r="M103" t="str">
        <f>"VCREATE SDN BHD"</f>
        <v>VCREATE SDN BHD</v>
      </c>
      <c r="O103">
        <v>1</v>
      </c>
      <c r="P103" t="str">
        <f>"PGTEFT2233"</f>
        <v>PGTEFT2233</v>
      </c>
      <c r="Q103" t="str">
        <f>"INV10299-17"</f>
        <v>INV10299-17</v>
      </c>
    </row>
    <row r="104" spans="1:17" x14ac:dyDescent="0.25">
      <c r="A104">
        <v>8003879954</v>
      </c>
      <c r="B104">
        <v>58</v>
      </c>
      <c r="C104">
        <v>12042017</v>
      </c>
      <c r="D104">
        <v>299</v>
      </c>
      <c r="E104" t="s">
        <v>30</v>
      </c>
      <c r="F104">
        <v>9938</v>
      </c>
      <c r="G104">
        <v>15500357</v>
      </c>
      <c r="H104" s="1">
        <v>0.01</v>
      </c>
      <c r="I104" t="s">
        <v>28</v>
      </c>
      <c r="J104" s="1">
        <v>1659178.96</v>
      </c>
      <c r="K104" t="s">
        <v>26</v>
      </c>
      <c r="L104">
        <v>161113</v>
      </c>
      <c r="M104" t="str">
        <f>"PGTEFT2233          INV10299-17"</f>
        <v>PGTEFT2233          INV10299-17</v>
      </c>
      <c r="O104">
        <v>1</v>
      </c>
    </row>
    <row r="105" spans="1:17" x14ac:dyDescent="0.25">
      <c r="A105">
        <v>8003879954</v>
      </c>
      <c r="B105">
        <v>57</v>
      </c>
      <c r="C105">
        <v>12042017</v>
      </c>
      <c r="D105">
        <v>489</v>
      </c>
      <c r="E105" t="s">
        <v>31</v>
      </c>
      <c r="F105">
        <v>9938</v>
      </c>
      <c r="G105">
        <v>15500357</v>
      </c>
      <c r="H105" s="1">
        <v>0.1</v>
      </c>
      <c r="I105" t="s">
        <v>28</v>
      </c>
      <c r="J105" s="1">
        <v>1659178.97</v>
      </c>
      <c r="K105" t="s">
        <v>26</v>
      </c>
      <c r="L105">
        <v>161113</v>
      </c>
      <c r="M105" t="str">
        <f>"PGTEFT2233          INV10299-17"</f>
        <v>PGTEFT2233          INV10299-17</v>
      </c>
      <c r="O105">
        <v>1</v>
      </c>
    </row>
    <row r="106" spans="1:17" x14ac:dyDescent="0.25">
      <c r="A106">
        <v>8003879954</v>
      </c>
      <c r="B106">
        <v>56</v>
      </c>
      <c r="C106">
        <v>12042017</v>
      </c>
      <c r="D106">
        <v>341</v>
      </c>
      <c r="E106" t="s">
        <v>29</v>
      </c>
      <c r="F106">
        <v>9938</v>
      </c>
      <c r="G106">
        <v>15510053</v>
      </c>
      <c r="H106" s="1">
        <v>218.4</v>
      </c>
      <c r="I106" t="s">
        <v>28</v>
      </c>
      <c r="J106" s="1">
        <v>1659179.07</v>
      </c>
      <c r="K106" t="s">
        <v>26</v>
      </c>
      <c r="L106">
        <v>161036</v>
      </c>
      <c r="M106" t="str">
        <f>"CLARITY PUBLISHING S"</f>
        <v>CLARITY PUBLISHING S</v>
      </c>
      <c r="O106">
        <v>1</v>
      </c>
      <c r="P106" t="str">
        <f>"PGTEFT2210"</f>
        <v>PGTEFT2210</v>
      </c>
      <c r="Q106" t="str">
        <f>"PGT09-15INV"</f>
        <v>PGT09-15INV</v>
      </c>
    </row>
    <row r="107" spans="1:17" x14ac:dyDescent="0.25">
      <c r="A107">
        <v>8003879954</v>
      </c>
      <c r="B107">
        <v>55</v>
      </c>
      <c r="C107">
        <v>12042017</v>
      </c>
      <c r="D107">
        <v>299</v>
      </c>
      <c r="E107" t="s">
        <v>30</v>
      </c>
      <c r="F107">
        <v>9938</v>
      </c>
      <c r="G107">
        <v>15510053</v>
      </c>
      <c r="H107" s="1">
        <v>0.01</v>
      </c>
      <c r="I107" t="s">
        <v>28</v>
      </c>
      <c r="J107" s="1">
        <v>1659397.47</v>
      </c>
      <c r="K107" t="s">
        <v>26</v>
      </c>
      <c r="L107">
        <v>161036</v>
      </c>
      <c r="M107" t="str">
        <f>"PGTEFT2210          PGT09-15INV"</f>
        <v>PGTEFT2210          PGT09-15INV</v>
      </c>
      <c r="O107">
        <v>1</v>
      </c>
    </row>
    <row r="108" spans="1:17" x14ac:dyDescent="0.25">
      <c r="A108">
        <v>8003879954</v>
      </c>
      <c r="B108">
        <v>54</v>
      </c>
      <c r="C108">
        <v>12042017</v>
      </c>
      <c r="D108">
        <v>489</v>
      </c>
      <c r="E108" t="s">
        <v>31</v>
      </c>
      <c r="F108">
        <v>9938</v>
      </c>
      <c r="G108">
        <v>15510053</v>
      </c>
      <c r="H108" s="1">
        <v>0.1</v>
      </c>
      <c r="I108" t="s">
        <v>28</v>
      </c>
      <c r="J108" s="1">
        <v>1659397.48</v>
      </c>
      <c r="K108" t="s">
        <v>26</v>
      </c>
      <c r="L108">
        <v>161036</v>
      </c>
      <c r="M108" t="str">
        <f>"PGTEFT2210          PGT09-15INV"</f>
        <v>PGTEFT2210          PGT09-15INV</v>
      </c>
      <c r="O108">
        <v>1</v>
      </c>
    </row>
    <row r="109" spans="1:17" x14ac:dyDescent="0.25">
      <c r="A109">
        <v>8003879954</v>
      </c>
      <c r="B109">
        <v>53</v>
      </c>
      <c r="C109">
        <v>12042017</v>
      </c>
      <c r="D109">
        <v>341</v>
      </c>
      <c r="E109" t="s">
        <v>29</v>
      </c>
      <c r="F109">
        <v>9938</v>
      </c>
      <c r="G109">
        <v>15500398</v>
      </c>
      <c r="H109" s="1">
        <v>270</v>
      </c>
      <c r="I109" t="s">
        <v>28</v>
      </c>
      <c r="J109" s="1">
        <v>1659397.58</v>
      </c>
      <c r="K109" t="s">
        <v>26</v>
      </c>
      <c r="L109">
        <v>161016</v>
      </c>
      <c r="M109" t="str">
        <f>"YEAP KAM MOEY"</f>
        <v>YEAP KAM MOEY</v>
      </c>
      <c r="O109">
        <v>1</v>
      </c>
      <c r="P109" t="str">
        <f>"PGTEFT2232"</f>
        <v>PGTEFT2232</v>
      </c>
    </row>
    <row r="110" spans="1:17" x14ac:dyDescent="0.25">
      <c r="A110">
        <v>8003879954</v>
      </c>
      <c r="B110">
        <v>52</v>
      </c>
      <c r="C110">
        <v>12042017</v>
      </c>
      <c r="D110">
        <v>299</v>
      </c>
      <c r="E110" t="s">
        <v>30</v>
      </c>
      <c r="F110">
        <v>9938</v>
      </c>
      <c r="G110">
        <v>15500398</v>
      </c>
      <c r="H110" s="1">
        <v>0.01</v>
      </c>
      <c r="I110" t="s">
        <v>28</v>
      </c>
      <c r="J110" s="1">
        <v>1659667.58</v>
      </c>
      <c r="K110" t="s">
        <v>26</v>
      </c>
      <c r="L110">
        <v>161016</v>
      </c>
      <c r="M110" t="str">
        <f>"PGTEFT2232"</f>
        <v>PGTEFT2232</v>
      </c>
      <c r="O110">
        <v>1</v>
      </c>
    </row>
    <row r="111" spans="1:17" x14ac:dyDescent="0.25">
      <c r="A111">
        <v>8003879954</v>
      </c>
      <c r="B111">
        <v>51</v>
      </c>
      <c r="C111">
        <v>12042017</v>
      </c>
      <c r="D111">
        <v>489</v>
      </c>
      <c r="E111" t="s">
        <v>31</v>
      </c>
      <c r="F111">
        <v>9938</v>
      </c>
      <c r="G111">
        <v>15500398</v>
      </c>
      <c r="H111" s="1">
        <v>0.1</v>
      </c>
      <c r="I111" t="s">
        <v>28</v>
      </c>
      <c r="J111" s="1">
        <v>1659667.59</v>
      </c>
      <c r="K111" t="s">
        <v>26</v>
      </c>
      <c r="L111">
        <v>161016</v>
      </c>
      <c r="M111" t="str">
        <f>"PGTEFT2232"</f>
        <v>PGTEFT2232</v>
      </c>
      <c r="O111">
        <v>1</v>
      </c>
    </row>
    <row r="112" spans="1:17" x14ac:dyDescent="0.25">
      <c r="A112">
        <v>8003879954</v>
      </c>
      <c r="B112">
        <v>50</v>
      </c>
      <c r="C112">
        <v>12042017</v>
      </c>
      <c r="D112">
        <v>341</v>
      </c>
      <c r="E112" t="s">
        <v>29</v>
      </c>
      <c r="F112">
        <v>9938</v>
      </c>
      <c r="G112">
        <v>15500286</v>
      </c>
      <c r="H112" s="1">
        <v>415.6</v>
      </c>
      <c r="I112" t="s">
        <v>28</v>
      </c>
      <c r="J112" s="1">
        <v>1659667.69</v>
      </c>
      <c r="K112" t="s">
        <v>26</v>
      </c>
      <c r="L112">
        <v>160933</v>
      </c>
      <c r="M112" t="str">
        <f>"YTL COMMUNICATIONS S"</f>
        <v>YTL COMMUNICATIONS S</v>
      </c>
      <c r="O112">
        <v>1</v>
      </c>
      <c r="P112" t="str">
        <f>"PGTEFT2234"</f>
        <v>PGTEFT2234</v>
      </c>
      <c r="Q112" t="str">
        <f>"813783509 813783531"</f>
        <v>813783509 813783531</v>
      </c>
    </row>
    <row r="113" spans="1:17" x14ac:dyDescent="0.25">
      <c r="A113">
        <v>8003879954</v>
      </c>
      <c r="B113">
        <v>49</v>
      </c>
      <c r="C113">
        <v>12042017</v>
      </c>
      <c r="D113">
        <v>299</v>
      </c>
      <c r="E113" t="s">
        <v>30</v>
      </c>
      <c r="F113">
        <v>9938</v>
      </c>
      <c r="G113">
        <v>15500286</v>
      </c>
      <c r="H113" s="1">
        <v>0.01</v>
      </c>
      <c r="I113" t="s">
        <v>28</v>
      </c>
      <c r="J113" s="1">
        <v>1660083.29</v>
      </c>
      <c r="K113" t="s">
        <v>26</v>
      </c>
      <c r="L113">
        <v>160933</v>
      </c>
      <c r="M113" t="str">
        <f>"PGTEFT2234          813783509 813783531"</f>
        <v>PGTEFT2234          813783509 813783531</v>
      </c>
      <c r="O113">
        <v>1</v>
      </c>
    </row>
    <row r="114" spans="1:17" x14ac:dyDescent="0.25">
      <c r="A114">
        <v>8003879954</v>
      </c>
      <c r="B114">
        <v>48</v>
      </c>
      <c r="C114">
        <v>12042017</v>
      </c>
      <c r="D114">
        <v>489</v>
      </c>
      <c r="E114" t="s">
        <v>31</v>
      </c>
      <c r="F114">
        <v>9938</v>
      </c>
      <c r="G114">
        <v>15500286</v>
      </c>
      <c r="H114" s="1">
        <v>0.1</v>
      </c>
      <c r="I114" t="s">
        <v>28</v>
      </c>
      <c r="J114" s="1">
        <v>1660083.3</v>
      </c>
      <c r="K114" t="s">
        <v>26</v>
      </c>
      <c r="L114">
        <v>160933</v>
      </c>
      <c r="M114" t="str">
        <f>"PGTEFT2234          813783509 813783531"</f>
        <v>PGTEFT2234          813783509 813783531</v>
      </c>
      <c r="O114">
        <v>1</v>
      </c>
    </row>
    <row r="115" spans="1:17" x14ac:dyDescent="0.25">
      <c r="A115">
        <v>8003879954</v>
      </c>
      <c r="B115">
        <v>47</v>
      </c>
      <c r="C115">
        <v>12042017</v>
      </c>
      <c r="D115">
        <v>341</v>
      </c>
      <c r="E115" t="s">
        <v>29</v>
      </c>
      <c r="F115">
        <v>9938</v>
      </c>
      <c r="G115">
        <v>15508910</v>
      </c>
      <c r="H115" s="1">
        <v>450</v>
      </c>
      <c r="I115" t="s">
        <v>28</v>
      </c>
      <c r="J115" s="1">
        <v>1660083.4</v>
      </c>
      <c r="K115" t="s">
        <v>26</v>
      </c>
      <c r="L115">
        <v>160928</v>
      </c>
      <c r="M115" t="str">
        <f>"LIANG CHOW MING"</f>
        <v>LIANG CHOW MING</v>
      </c>
      <c r="O115">
        <v>1</v>
      </c>
      <c r="P115" t="str">
        <f>"PGTEFT2217"</f>
        <v>PGTEFT2217</v>
      </c>
      <c r="Q115" t="str">
        <f>"INV19504 19508 19510"</f>
        <v>INV19504 19508 19510</v>
      </c>
    </row>
    <row r="116" spans="1:17" x14ac:dyDescent="0.25">
      <c r="A116">
        <v>8003879954</v>
      </c>
      <c r="B116">
        <v>46</v>
      </c>
      <c r="C116">
        <v>12042017</v>
      </c>
      <c r="D116">
        <v>299</v>
      </c>
      <c r="E116" t="s">
        <v>30</v>
      </c>
      <c r="F116">
        <v>9938</v>
      </c>
      <c r="G116">
        <v>15508910</v>
      </c>
      <c r="H116" s="1">
        <v>0.01</v>
      </c>
      <c r="I116" t="s">
        <v>28</v>
      </c>
      <c r="J116" s="1">
        <v>1660533.4</v>
      </c>
      <c r="K116" t="s">
        <v>26</v>
      </c>
      <c r="L116">
        <v>160928</v>
      </c>
      <c r="M116" t="str">
        <f>"PGTEFT2217          INV19504 19508 19510"</f>
        <v>PGTEFT2217          INV19504 19508 19510</v>
      </c>
      <c r="O116">
        <v>1</v>
      </c>
    </row>
    <row r="117" spans="1:17" x14ac:dyDescent="0.25">
      <c r="A117">
        <v>8003879954</v>
      </c>
      <c r="B117">
        <v>45</v>
      </c>
      <c r="C117">
        <v>12042017</v>
      </c>
      <c r="D117">
        <v>489</v>
      </c>
      <c r="E117" t="s">
        <v>31</v>
      </c>
      <c r="F117">
        <v>9938</v>
      </c>
      <c r="G117">
        <v>15508910</v>
      </c>
      <c r="H117" s="1">
        <v>0.1</v>
      </c>
      <c r="I117" t="s">
        <v>28</v>
      </c>
      <c r="J117" s="1">
        <v>1660533.41</v>
      </c>
      <c r="K117" t="s">
        <v>26</v>
      </c>
      <c r="L117">
        <v>160928</v>
      </c>
      <c r="M117" t="str">
        <f>"PGTEFT2217          INV19504 19508 19510"</f>
        <v>PGTEFT2217          INV19504 19508 19510</v>
      </c>
      <c r="O117">
        <v>1</v>
      </c>
    </row>
    <row r="118" spans="1:17" x14ac:dyDescent="0.25">
      <c r="A118">
        <v>8003879954</v>
      </c>
      <c r="B118">
        <v>44</v>
      </c>
      <c r="C118">
        <v>12042017</v>
      </c>
      <c r="D118">
        <v>341</v>
      </c>
      <c r="E118" t="s">
        <v>29</v>
      </c>
      <c r="F118">
        <v>9938</v>
      </c>
      <c r="G118">
        <v>15510469</v>
      </c>
      <c r="H118" s="1">
        <v>1106.6500000000001</v>
      </c>
      <c r="I118" t="s">
        <v>28</v>
      </c>
      <c r="J118" s="1">
        <v>1660533.51</v>
      </c>
      <c r="K118" t="s">
        <v>26</v>
      </c>
      <c r="L118">
        <v>160753</v>
      </c>
      <c r="M118" t="str">
        <f>"ADR &amp; JNA VENTURE"</f>
        <v>ADR &amp; JNA VENTURE</v>
      </c>
      <c r="O118">
        <v>1</v>
      </c>
      <c r="P118" t="str">
        <f>"PGTEFT2208"</f>
        <v>PGTEFT2208</v>
      </c>
      <c r="Q118" t="str">
        <f>"INV00013440"</f>
        <v>INV00013440</v>
      </c>
    </row>
    <row r="119" spans="1:17" x14ac:dyDescent="0.25">
      <c r="A119">
        <v>8003879954</v>
      </c>
      <c r="B119">
        <v>43</v>
      </c>
      <c r="C119">
        <v>12042017</v>
      </c>
      <c r="D119">
        <v>299</v>
      </c>
      <c r="E119" t="s">
        <v>30</v>
      </c>
      <c r="F119">
        <v>9938</v>
      </c>
      <c r="G119">
        <v>15510469</v>
      </c>
      <c r="H119" s="1">
        <v>0.01</v>
      </c>
      <c r="I119" t="s">
        <v>28</v>
      </c>
      <c r="J119" s="1">
        <v>1661640.16</v>
      </c>
      <c r="K119" t="s">
        <v>26</v>
      </c>
      <c r="L119">
        <v>160753</v>
      </c>
      <c r="M119" t="str">
        <f>"PGTEFT2208          INV00013440"</f>
        <v>PGTEFT2208          INV00013440</v>
      </c>
      <c r="O119">
        <v>1</v>
      </c>
    </row>
    <row r="120" spans="1:17" x14ac:dyDescent="0.25">
      <c r="A120">
        <v>8003879954</v>
      </c>
      <c r="B120">
        <v>42</v>
      </c>
      <c r="C120">
        <v>12042017</v>
      </c>
      <c r="D120">
        <v>489</v>
      </c>
      <c r="E120" t="s">
        <v>31</v>
      </c>
      <c r="F120">
        <v>9938</v>
      </c>
      <c r="G120">
        <v>15510469</v>
      </c>
      <c r="H120" s="1">
        <v>0.1</v>
      </c>
      <c r="I120" t="s">
        <v>28</v>
      </c>
      <c r="J120" s="1">
        <v>1661640.17</v>
      </c>
      <c r="K120" t="s">
        <v>26</v>
      </c>
      <c r="L120">
        <v>160753</v>
      </c>
      <c r="M120" t="str">
        <f>"PGTEFT2208          INV00013440"</f>
        <v>PGTEFT2208          INV00013440</v>
      </c>
      <c r="O120">
        <v>1</v>
      </c>
    </row>
    <row r="121" spans="1:17" x14ac:dyDescent="0.25">
      <c r="A121">
        <v>8003879954</v>
      </c>
      <c r="B121">
        <v>41</v>
      </c>
      <c r="C121">
        <v>12042017</v>
      </c>
      <c r="D121">
        <v>341</v>
      </c>
      <c r="E121" t="s">
        <v>29</v>
      </c>
      <c r="F121">
        <v>9938</v>
      </c>
      <c r="G121">
        <v>15506418</v>
      </c>
      <c r="H121" s="1">
        <v>1173</v>
      </c>
      <c r="I121" t="s">
        <v>28</v>
      </c>
      <c r="J121" s="1">
        <v>1661640.27</v>
      </c>
      <c r="K121" t="s">
        <v>26</v>
      </c>
      <c r="L121">
        <v>160750</v>
      </c>
      <c r="M121" t="str">
        <f>"TNT EXPRESS WORLDWID"</f>
        <v>TNT EXPRESS WORLDWID</v>
      </c>
      <c r="O121">
        <v>1</v>
      </c>
      <c r="P121" t="str">
        <f>"PGTEFT2226"</f>
        <v>PGTEFT2226</v>
      </c>
      <c r="Q121" t="str">
        <f>"ACC233560"</f>
        <v>ACC233560</v>
      </c>
    </row>
    <row r="122" spans="1:17" x14ac:dyDescent="0.25">
      <c r="A122">
        <v>8003879954</v>
      </c>
      <c r="B122">
        <v>40</v>
      </c>
      <c r="C122">
        <v>12042017</v>
      </c>
      <c r="D122">
        <v>299</v>
      </c>
      <c r="E122" t="s">
        <v>30</v>
      </c>
      <c r="F122">
        <v>9938</v>
      </c>
      <c r="G122">
        <v>15506418</v>
      </c>
      <c r="H122" s="1">
        <v>0.01</v>
      </c>
      <c r="I122" t="s">
        <v>28</v>
      </c>
      <c r="J122" s="1">
        <v>1662813.27</v>
      </c>
      <c r="K122" t="s">
        <v>26</v>
      </c>
      <c r="L122">
        <v>160750</v>
      </c>
      <c r="M122" t="str">
        <f>"PGTEFT2226          ACC233560"</f>
        <v>PGTEFT2226          ACC233560</v>
      </c>
      <c r="O122">
        <v>1</v>
      </c>
    </row>
    <row r="123" spans="1:17" x14ac:dyDescent="0.25">
      <c r="A123">
        <v>8003879954</v>
      </c>
      <c r="B123">
        <v>39</v>
      </c>
      <c r="C123">
        <v>12042017</v>
      </c>
      <c r="D123">
        <v>489</v>
      </c>
      <c r="E123" t="s">
        <v>31</v>
      </c>
      <c r="F123">
        <v>9938</v>
      </c>
      <c r="G123">
        <v>15506418</v>
      </c>
      <c r="H123" s="1">
        <v>0.1</v>
      </c>
      <c r="I123" t="s">
        <v>28</v>
      </c>
      <c r="J123" s="1">
        <v>1662813.28</v>
      </c>
      <c r="K123" t="s">
        <v>26</v>
      </c>
      <c r="L123">
        <v>160750</v>
      </c>
      <c r="M123" t="str">
        <f>"PGTEFT2226          ACC233560"</f>
        <v>PGTEFT2226          ACC233560</v>
      </c>
      <c r="O123">
        <v>1</v>
      </c>
    </row>
    <row r="124" spans="1:17" x14ac:dyDescent="0.25">
      <c r="A124">
        <v>8003879954</v>
      </c>
      <c r="B124">
        <v>38</v>
      </c>
      <c r="C124">
        <v>12042017</v>
      </c>
      <c r="D124">
        <v>341</v>
      </c>
      <c r="E124" t="s">
        <v>29</v>
      </c>
      <c r="F124">
        <v>9938</v>
      </c>
      <c r="G124">
        <v>15501397</v>
      </c>
      <c r="H124" s="1">
        <v>1250</v>
      </c>
      <c r="I124" t="s">
        <v>28</v>
      </c>
      <c r="J124" s="1">
        <v>1662813.38</v>
      </c>
      <c r="K124" t="s">
        <v>26</v>
      </c>
      <c r="L124">
        <v>160740</v>
      </c>
      <c r="M124" t="str">
        <f>"THUM CHIA CHIEH"</f>
        <v>THUM CHIA CHIEH</v>
      </c>
      <c r="O124">
        <v>1</v>
      </c>
      <c r="P124" t="str">
        <f>"PGTEFT2231"</f>
        <v>PGTEFT2231</v>
      </c>
      <c r="Q124" t="str">
        <f>"PHOTOGRAPHY SERVICE"</f>
        <v>PHOTOGRAPHY SERVICE</v>
      </c>
    </row>
    <row r="125" spans="1:17" x14ac:dyDescent="0.25">
      <c r="A125">
        <v>8003879954</v>
      </c>
      <c r="B125">
        <v>37</v>
      </c>
      <c r="C125">
        <v>12042017</v>
      </c>
      <c r="D125">
        <v>299</v>
      </c>
      <c r="E125" t="s">
        <v>30</v>
      </c>
      <c r="F125">
        <v>9938</v>
      </c>
      <c r="G125">
        <v>15501397</v>
      </c>
      <c r="H125" s="1">
        <v>0.01</v>
      </c>
      <c r="I125" t="s">
        <v>28</v>
      </c>
      <c r="J125" s="1">
        <v>1664063.38</v>
      </c>
      <c r="K125" t="s">
        <v>26</v>
      </c>
      <c r="L125">
        <v>160740</v>
      </c>
      <c r="M125" t="str">
        <f>"PGTEFT2231          PHOTOGRAPHY SERVICE"</f>
        <v>PGTEFT2231          PHOTOGRAPHY SERVICE</v>
      </c>
      <c r="O125">
        <v>1</v>
      </c>
    </row>
    <row r="126" spans="1:17" x14ac:dyDescent="0.25">
      <c r="A126">
        <v>8003879954</v>
      </c>
      <c r="B126">
        <v>36</v>
      </c>
      <c r="C126">
        <v>12042017</v>
      </c>
      <c r="D126">
        <v>489</v>
      </c>
      <c r="E126" t="s">
        <v>31</v>
      </c>
      <c r="F126">
        <v>9938</v>
      </c>
      <c r="G126">
        <v>15501397</v>
      </c>
      <c r="H126" s="1">
        <v>0.1</v>
      </c>
      <c r="I126" t="s">
        <v>28</v>
      </c>
      <c r="J126" s="1">
        <v>1664063.39</v>
      </c>
      <c r="K126" t="s">
        <v>26</v>
      </c>
      <c r="L126">
        <v>160740</v>
      </c>
      <c r="M126" t="str">
        <f>"PGTEFT2231          PHOTOGRAPHY SERVICE"</f>
        <v>PGTEFT2231          PHOTOGRAPHY SERVICE</v>
      </c>
      <c r="O126">
        <v>1</v>
      </c>
    </row>
    <row r="127" spans="1:17" x14ac:dyDescent="0.25">
      <c r="A127">
        <v>8003879954</v>
      </c>
      <c r="B127">
        <v>35</v>
      </c>
      <c r="C127">
        <v>12042017</v>
      </c>
      <c r="D127">
        <v>341</v>
      </c>
      <c r="E127" t="s">
        <v>29</v>
      </c>
      <c r="F127">
        <v>9938</v>
      </c>
      <c r="G127">
        <v>15508104</v>
      </c>
      <c r="H127" s="1">
        <v>1270.94</v>
      </c>
      <c r="I127" t="s">
        <v>28</v>
      </c>
      <c r="J127" s="1">
        <v>1664063.49</v>
      </c>
      <c r="K127" t="s">
        <v>26</v>
      </c>
      <c r="L127">
        <v>160738</v>
      </c>
      <c r="M127" t="str">
        <f>"REDTONE TELECOMMUNIC"</f>
        <v>REDTONE TELECOMMUNIC</v>
      </c>
      <c r="O127">
        <v>1</v>
      </c>
      <c r="P127" t="str">
        <f>"PGTEFT2222"</f>
        <v>PGTEFT2222</v>
      </c>
      <c r="Q127" t="str">
        <f>"INV252137"</f>
        <v>INV252137</v>
      </c>
    </row>
    <row r="128" spans="1:17" x14ac:dyDescent="0.25">
      <c r="A128">
        <v>8003879954</v>
      </c>
      <c r="B128">
        <v>34</v>
      </c>
      <c r="C128">
        <v>12042017</v>
      </c>
      <c r="D128">
        <v>299</v>
      </c>
      <c r="E128" t="s">
        <v>30</v>
      </c>
      <c r="F128">
        <v>9938</v>
      </c>
      <c r="G128">
        <v>15508104</v>
      </c>
      <c r="H128" s="1">
        <v>0.01</v>
      </c>
      <c r="I128" t="s">
        <v>28</v>
      </c>
      <c r="J128" s="1">
        <v>1665334.43</v>
      </c>
      <c r="K128" t="s">
        <v>26</v>
      </c>
      <c r="L128">
        <v>160738</v>
      </c>
      <c r="M128" t="str">
        <f>"PGTEFT2222          INV252137"</f>
        <v>PGTEFT2222          INV252137</v>
      </c>
      <c r="O128">
        <v>1</v>
      </c>
    </row>
    <row r="129" spans="1:17" x14ac:dyDescent="0.25">
      <c r="A129">
        <v>8003879954</v>
      </c>
      <c r="B129">
        <v>33</v>
      </c>
      <c r="C129">
        <v>12042017</v>
      </c>
      <c r="D129">
        <v>489</v>
      </c>
      <c r="E129" t="s">
        <v>31</v>
      </c>
      <c r="F129">
        <v>9938</v>
      </c>
      <c r="G129">
        <v>15508104</v>
      </c>
      <c r="H129" s="1">
        <v>0.1</v>
      </c>
      <c r="I129" t="s">
        <v>28</v>
      </c>
      <c r="J129" s="1">
        <v>1665334.44</v>
      </c>
      <c r="K129" t="s">
        <v>26</v>
      </c>
      <c r="L129">
        <v>160738</v>
      </c>
      <c r="M129" t="str">
        <f>"PGTEFT2222          INV252137"</f>
        <v>PGTEFT2222          INV252137</v>
      </c>
      <c r="O129">
        <v>1</v>
      </c>
    </row>
    <row r="130" spans="1:17" x14ac:dyDescent="0.25">
      <c r="A130">
        <v>8003879954</v>
      </c>
      <c r="B130">
        <v>32</v>
      </c>
      <c r="C130">
        <v>12042017</v>
      </c>
      <c r="D130">
        <v>341</v>
      </c>
      <c r="E130" t="s">
        <v>29</v>
      </c>
      <c r="F130">
        <v>9938</v>
      </c>
      <c r="G130">
        <v>15509007</v>
      </c>
      <c r="H130" s="1">
        <v>1675.86</v>
      </c>
      <c r="I130" t="s">
        <v>28</v>
      </c>
      <c r="J130" s="1">
        <v>1665334.54</v>
      </c>
      <c r="K130" t="s">
        <v>26</v>
      </c>
      <c r="L130">
        <v>160711</v>
      </c>
      <c r="M130" t="str">
        <f>"INSTANT EXPOSITION S"</f>
        <v>INSTANT EXPOSITION S</v>
      </c>
      <c r="O130">
        <v>1</v>
      </c>
      <c r="P130" t="str">
        <f>"PGTEFT2216"</f>
        <v>PGTEFT2216</v>
      </c>
      <c r="Q130" t="str">
        <f>"INV01775"</f>
        <v>INV01775</v>
      </c>
    </row>
    <row r="131" spans="1:17" x14ac:dyDescent="0.25">
      <c r="A131">
        <v>8003879954</v>
      </c>
      <c r="B131">
        <v>31</v>
      </c>
      <c r="C131">
        <v>12042017</v>
      </c>
      <c r="D131">
        <v>299</v>
      </c>
      <c r="E131" t="s">
        <v>30</v>
      </c>
      <c r="F131">
        <v>9938</v>
      </c>
      <c r="G131">
        <v>15509007</v>
      </c>
      <c r="H131" s="1">
        <v>0.01</v>
      </c>
      <c r="I131" t="s">
        <v>28</v>
      </c>
      <c r="J131" s="1">
        <v>1667010.4</v>
      </c>
      <c r="K131" t="s">
        <v>26</v>
      </c>
      <c r="L131">
        <v>160711</v>
      </c>
      <c r="M131" t="str">
        <f>"PGTEFT2216          INV01775"</f>
        <v>PGTEFT2216          INV01775</v>
      </c>
      <c r="O131">
        <v>1</v>
      </c>
    </row>
    <row r="132" spans="1:17" x14ac:dyDescent="0.25">
      <c r="A132">
        <v>8003879954</v>
      </c>
      <c r="B132">
        <v>30</v>
      </c>
      <c r="C132">
        <v>12042017</v>
      </c>
      <c r="D132">
        <v>489</v>
      </c>
      <c r="E132" t="s">
        <v>31</v>
      </c>
      <c r="F132">
        <v>9938</v>
      </c>
      <c r="G132">
        <v>15509007</v>
      </c>
      <c r="H132" s="1">
        <v>0.1</v>
      </c>
      <c r="I132" t="s">
        <v>28</v>
      </c>
      <c r="J132" s="1">
        <v>1667010.41</v>
      </c>
      <c r="K132" t="s">
        <v>26</v>
      </c>
      <c r="L132">
        <v>160711</v>
      </c>
      <c r="M132" t="str">
        <f>"PGTEFT2216          INV01775"</f>
        <v>PGTEFT2216          INV01775</v>
      </c>
      <c r="O132">
        <v>1</v>
      </c>
    </row>
    <row r="133" spans="1:17" x14ac:dyDescent="0.25">
      <c r="A133">
        <v>8003879954</v>
      </c>
      <c r="B133">
        <v>29</v>
      </c>
      <c r="C133">
        <v>12042017</v>
      </c>
      <c r="D133">
        <v>341</v>
      </c>
      <c r="E133" t="s">
        <v>29</v>
      </c>
      <c r="F133">
        <v>9938</v>
      </c>
      <c r="G133">
        <v>15510363</v>
      </c>
      <c r="H133" s="1">
        <v>1961</v>
      </c>
      <c r="I133" t="s">
        <v>28</v>
      </c>
      <c r="J133" s="1">
        <v>1667010.51</v>
      </c>
      <c r="K133" t="s">
        <v>26</v>
      </c>
      <c r="L133">
        <v>160656</v>
      </c>
      <c r="M133" t="str">
        <f>"BRAND-NEW BANNERSHOP"</f>
        <v>BRAND-NEW BANNERSHOP</v>
      </c>
      <c r="O133">
        <v>1</v>
      </c>
      <c r="P133" t="str">
        <f>"PGTEFT2209"</f>
        <v>PGTEFT2209</v>
      </c>
      <c r="Q133" t="str">
        <f>"00041252"</f>
        <v>00041252</v>
      </c>
    </row>
    <row r="134" spans="1:17" x14ac:dyDescent="0.25">
      <c r="A134">
        <v>8003879954</v>
      </c>
      <c r="B134">
        <v>28</v>
      </c>
      <c r="C134">
        <v>12042017</v>
      </c>
      <c r="D134">
        <v>299</v>
      </c>
      <c r="E134" t="s">
        <v>30</v>
      </c>
      <c r="F134">
        <v>9938</v>
      </c>
      <c r="G134">
        <v>15510363</v>
      </c>
      <c r="H134" s="1">
        <v>0.01</v>
      </c>
      <c r="I134" t="s">
        <v>28</v>
      </c>
      <c r="J134" s="1">
        <v>1668971.51</v>
      </c>
      <c r="K134" t="s">
        <v>26</v>
      </c>
      <c r="L134">
        <v>160656</v>
      </c>
      <c r="M134" t="str">
        <f>"PGTEFT2209          00041252"</f>
        <v>PGTEFT2209          00041252</v>
      </c>
      <c r="O134">
        <v>1</v>
      </c>
    </row>
    <row r="135" spans="1:17" x14ac:dyDescent="0.25">
      <c r="A135">
        <v>8003879954</v>
      </c>
      <c r="B135">
        <v>27</v>
      </c>
      <c r="C135">
        <v>12042017</v>
      </c>
      <c r="D135">
        <v>489</v>
      </c>
      <c r="E135" t="s">
        <v>31</v>
      </c>
      <c r="F135">
        <v>9938</v>
      </c>
      <c r="G135">
        <v>15510363</v>
      </c>
      <c r="H135" s="1">
        <v>0.1</v>
      </c>
      <c r="I135" t="s">
        <v>28</v>
      </c>
      <c r="J135" s="1">
        <v>1668971.52</v>
      </c>
      <c r="K135" t="s">
        <v>26</v>
      </c>
      <c r="L135">
        <v>160656</v>
      </c>
      <c r="M135" t="str">
        <f>"PGTEFT2209          00041252"</f>
        <v>PGTEFT2209          00041252</v>
      </c>
      <c r="O135">
        <v>1</v>
      </c>
    </row>
    <row r="136" spans="1:17" x14ac:dyDescent="0.25">
      <c r="A136">
        <v>8003879954</v>
      </c>
      <c r="B136">
        <v>26</v>
      </c>
      <c r="C136">
        <v>12042017</v>
      </c>
      <c r="D136">
        <v>341</v>
      </c>
      <c r="E136" t="s">
        <v>29</v>
      </c>
      <c r="F136">
        <v>9938</v>
      </c>
      <c r="G136">
        <v>15509450</v>
      </c>
      <c r="H136" s="1">
        <v>2118</v>
      </c>
      <c r="I136" t="s">
        <v>28</v>
      </c>
      <c r="J136" s="1">
        <v>1668971.62</v>
      </c>
      <c r="K136" t="s">
        <v>26</v>
      </c>
      <c r="L136">
        <v>160642</v>
      </c>
      <c r="M136" t="str">
        <f>"ET HOSPITALITY VENTU"</f>
        <v>ET HOSPITALITY VENTU</v>
      </c>
      <c r="O136">
        <v>1</v>
      </c>
      <c r="P136" t="str">
        <f>"PGTEFT2213"</f>
        <v>PGTEFT2213</v>
      </c>
      <c r="Q136" t="str">
        <f>"AIRASIA CHINA KOL FA"</f>
        <v>AIRASIA CHINA KOL FA</v>
      </c>
    </row>
    <row r="137" spans="1:17" x14ac:dyDescent="0.25">
      <c r="A137">
        <v>8003879954</v>
      </c>
      <c r="B137">
        <v>25</v>
      </c>
      <c r="C137">
        <v>12042017</v>
      </c>
      <c r="D137">
        <v>299</v>
      </c>
      <c r="E137" t="s">
        <v>30</v>
      </c>
      <c r="F137">
        <v>9938</v>
      </c>
      <c r="G137">
        <v>15509450</v>
      </c>
      <c r="H137" s="1">
        <v>0.01</v>
      </c>
      <c r="I137" t="s">
        <v>28</v>
      </c>
      <c r="J137" s="1">
        <v>1671089.62</v>
      </c>
      <c r="K137" t="s">
        <v>26</v>
      </c>
      <c r="L137">
        <v>160642</v>
      </c>
      <c r="M137" t="str">
        <f>"PGTEFT2213          AIRASIA CHINA KOL FA"</f>
        <v>PGTEFT2213          AIRASIA CHINA KOL FA</v>
      </c>
      <c r="O137">
        <v>1</v>
      </c>
    </row>
    <row r="138" spans="1:17" x14ac:dyDescent="0.25">
      <c r="A138">
        <v>8003879954</v>
      </c>
      <c r="B138">
        <v>24</v>
      </c>
      <c r="C138">
        <v>12042017</v>
      </c>
      <c r="D138">
        <v>489</v>
      </c>
      <c r="E138" t="s">
        <v>31</v>
      </c>
      <c r="F138">
        <v>9938</v>
      </c>
      <c r="G138">
        <v>15509450</v>
      </c>
      <c r="H138" s="1">
        <v>0.1</v>
      </c>
      <c r="I138" t="s">
        <v>28</v>
      </c>
      <c r="J138" s="1">
        <v>1671089.63</v>
      </c>
      <c r="K138" t="s">
        <v>26</v>
      </c>
      <c r="L138">
        <v>160642</v>
      </c>
      <c r="M138" t="str">
        <f>"PGTEFT2213          AIRASIA CHINA KOL FA"</f>
        <v>PGTEFT2213          AIRASIA CHINA KOL FA</v>
      </c>
      <c r="O138">
        <v>1</v>
      </c>
    </row>
    <row r="139" spans="1:17" x14ac:dyDescent="0.25">
      <c r="A139">
        <v>8003879954</v>
      </c>
      <c r="B139">
        <v>23</v>
      </c>
      <c r="C139">
        <v>12042017</v>
      </c>
      <c r="D139">
        <v>341</v>
      </c>
      <c r="E139" t="s">
        <v>29</v>
      </c>
      <c r="F139">
        <v>9938</v>
      </c>
      <c r="G139">
        <v>15507898</v>
      </c>
      <c r="H139" s="1">
        <v>3165.16</v>
      </c>
      <c r="I139" t="s">
        <v>28</v>
      </c>
      <c r="J139" s="1">
        <v>1671089.73</v>
      </c>
      <c r="K139" t="s">
        <v>26</v>
      </c>
      <c r="L139">
        <v>160556</v>
      </c>
      <c r="M139" t="str">
        <f>"ROD CREATIVE SDN BHD"</f>
        <v>ROD CREATIVE SDN BHD</v>
      </c>
      <c r="O139">
        <v>1</v>
      </c>
      <c r="P139" t="str">
        <f>"PGTEFT2223"</f>
        <v>PGTEFT2223</v>
      </c>
      <c r="Q139" t="str">
        <f>"INV151224"</f>
        <v>INV151224</v>
      </c>
    </row>
    <row r="140" spans="1:17" x14ac:dyDescent="0.25">
      <c r="A140">
        <v>8003879954</v>
      </c>
      <c r="B140">
        <v>22</v>
      </c>
      <c r="C140">
        <v>12042017</v>
      </c>
      <c r="D140">
        <v>299</v>
      </c>
      <c r="E140" t="s">
        <v>30</v>
      </c>
      <c r="F140">
        <v>9938</v>
      </c>
      <c r="G140">
        <v>15507898</v>
      </c>
      <c r="H140" s="1">
        <v>0.01</v>
      </c>
      <c r="I140" t="s">
        <v>28</v>
      </c>
      <c r="J140" s="1">
        <v>1674254.89</v>
      </c>
      <c r="K140" t="s">
        <v>26</v>
      </c>
      <c r="L140">
        <v>160556</v>
      </c>
      <c r="M140" t="str">
        <f>"PGTEFT2223          INV151224"</f>
        <v>PGTEFT2223          INV151224</v>
      </c>
      <c r="O140">
        <v>1</v>
      </c>
    </row>
    <row r="141" spans="1:17" x14ac:dyDescent="0.25">
      <c r="A141">
        <v>8003879954</v>
      </c>
      <c r="B141">
        <v>21</v>
      </c>
      <c r="C141">
        <v>12042017</v>
      </c>
      <c r="D141">
        <v>489</v>
      </c>
      <c r="E141" t="s">
        <v>31</v>
      </c>
      <c r="F141">
        <v>9938</v>
      </c>
      <c r="G141">
        <v>15507898</v>
      </c>
      <c r="H141" s="1">
        <v>0.1</v>
      </c>
      <c r="I141" t="s">
        <v>28</v>
      </c>
      <c r="J141" s="1">
        <v>1674254.9</v>
      </c>
      <c r="K141" t="s">
        <v>26</v>
      </c>
      <c r="L141">
        <v>160556</v>
      </c>
      <c r="M141" t="str">
        <f>"PGTEFT2223          INV151224"</f>
        <v>PGTEFT2223          INV151224</v>
      </c>
      <c r="O141">
        <v>1</v>
      </c>
    </row>
    <row r="142" spans="1:17" x14ac:dyDescent="0.25">
      <c r="A142">
        <v>8003879954</v>
      </c>
      <c r="B142">
        <v>20</v>
      </c>
      <c r="C142">
        <v>12042017</v>
      </c>
      <c r="D142">
        <v>341</v>
      </c>
      <c r="E142" t="s">
        <v>29</v>
      </c>
      <c r="F142">
        <v>9938</v>
      </c>
      <c r="G142">
        <v>15508698</v>
      </c>
      <c r="H142" s="1">
        <v>3710</v>
      </c>
      <c r="I142" t="s">
        <v>28</v>
      </c>
      <c r="J142" s="1">
        <v>1674255</v>
      </c>
      <c r="K142" t="s">
        <v>26</v>
      </c>
      <c r="L142">
        <v>160539</v>
      </c>
      <c r="M142" t="str">
        <f>"OPTIMAL MEDIA SDN BH"</f>
        <v>OPTIMAL MEDIA SDN BH</v>
      </c>
      <c r="O142">
        <v>1</v>
      </c>
      <c r="P142" t="str">
        <f>"PGTEFT2219"</f>
        <v>PGTEFT2219</v>
      </c>
      <c r="Q142" t="str">
        <f>"INV285"</f>
        <v>INV285</v>
      </c>
    </row>
    <row r="143" spans="1:17" x14ac:dyDescent="0.25">
      <c r="A143">
        <v>8003879954</v>
      </c>
      <c r="B143">
        <v>19</v>
      </c>
      <c r="C143">
        <v>12042017</v>
      </c>
      <c r="D143">
        <v>299</v>
      </c>
      <c r="E143" t="s">
        <v>30</v>
      </c>
      <c r="F143">
        <v>9938</v>
      </c>
      <c r="G143">
        <v>15508698</v>
      </c>
      <c r="H143" s="1">
        <v>0.01</v>
      </c>
      <c r="I143" t="s">
        <v>28</v>
      </c>
      <c r="J143" s="1">
        <v>1677965</v>
      </c>
      <c r="K143" t="s">
        <v>26</v>
      </c>
      <c r="L143">
        <v>160539</v>
      </c>
      <c r="M143" t="str">
        <f>"PGTEFT2219          INV285"</f>
        <v>PGTEFT2219          INV285</v>
      </c>
      <c r="O143">
        <v>1</v>
      </c>
    </row>
    <row r="144" spans="1:17" x14ac:dyDescent="0.25">
      <c r="A144">
        <v>8003879954</v>
      </c>
      <c r="B144">
        <v>18</v>
      </c>
      <c r="C144">
        <v>12042017</v>
      </c>
      <c r="D144">
        <v>489</v>
      </c>
      <c r="E144" t="s">
        <v>31</v>
      </c>
      <c r="F144">
        <v>9938</v>
      </c>
      <c r="G144">
        <v>15508698</v>
      </c>
      <c r="H144" s="1">
        <v>0.1</v>
      </c>
      <c r="I144" t="s">
        <v>28</v>
      </c>
      <c r="J144" s="1">
        <v>1677965.01</v>
      </c>
      <c r="K144" t="s">
        <v>26</v>
      </c>
      <c r="L144">
        <v>160539</v>
      </c>
      <c r="M144" t="str">
        <f>"PGTEFT2219          INV285"</f>
        <v>PGTEFT2219          INV285</v>
      </c>
      <c r="O144">
        <v>1</v>
      </c>
    </row>
    <row r="145" spans="1:17" x14ac:dyDescent="0.25">
      <c r="A145">
        <v>8003879954</v>
      </c>
      <c r="B145">
        <v>17</v>
      </c>
      <c r="C145">
        <v>12042017</v>
      </c>
      <c r="D145">
        <v>60</v>
      </c>
      <c r="E145" t="s">
        <v>43</v>
      </c>
      <c r="F145">
        <v>9938</v>
      </c>
      <c r="G145">
        <v>15507257</v>
      </c>
      <c r="H145" s="1">
        <v>270</v>
      </c>
      <c r="I145" t="s">
        <v>28</v>
      </c>
      <c r="J145" s="1">
        <v>1677965.11</v>
      </c>
      <c r="K145" t="s">
        <v>26</v>
      </c>
      <c r="L145">
        <v>160513</v>
      </c>
      <c r="M145" t="str">
        <f>"GUIDE FEE MAR TOH KIM HOCK"</f>
        <v>GUIDE FEE MAR TOH KIM HOCK</v>
      </c>
      <c r="O145">
        <v>1</v>
      </c>
      <c r="P145" t="str">
        <f>"PGTEFT2224"</f>
        <v>PGTEFT2224</v>
      </c>
      <c r="Q145" t="str">
        <f>"INV95T INV98T"</f>
        <v>INV95T INV98T</v>
      </c>
    </row>
    <row r="146" spans="1:17" x14ac:dyDescent="0.25">
      <c r="A146">
        <v>8003879954</v>
      </c>
      <c r="B146">
        <v>16</v>
      </c>
      <c r="C146">
        <v>12042017</v>
      </c>
      <c r="D146">
        <v>60</v>
      </c>
      <c r="E146" t="s">
        <v>43</v>
      </c>
      <c r="F146">
        <v>9938</v>
      </c>
      <c r="G146">
        <v>15508380</v>
      </c>
      <c r="H146" s="1">
        <v>657.2</v>
      </c>
      <c r="I146" t="s">
        <v>28</v>
      </c>
      <c r="J146" s="1">
        <v>1678235.11</v>
      </c>
      <c r="K146" t="s">
        <v>26</v>
      </c>
      <c r="L146">
        <v>160424</v>
      </c>
      <c r="M146" t="str">
        <f>"SECRETARIAL FEE PDC PREMIER HOLDING"</f>
        <v>SECRETARIAL FEE PDC PREMIER HOLDING</v>
      </c>
      <c r="O146">
        <v>1</v>
      </c>
      <c r="P146" t="str">
        <f>"PGTEFT2221"</f>
        <v>PGTEFT2221</v>
      </c>
      <c r="Q146" t="str">
        <f>"INV0000419"</f>
        <v>INV0000419</v>
      </c>
    </row>
    <row r="147" spans="1:17" x14ac:dyDescent="0.25">
      <c r="A147">
        <v>8003879954</v>
      </c>
      <c r="B147">
        <v>15</v>
      </c>
      <c r="C147">
        <v>12042017</v>
      </c>
      <c r="D147">
        <v>345</v>
      </c>
      <c r="E147" t="s">
        <v>27</v>
      </c>
      <c r="F147">
        <v>9938</v>
      </c>
      <c r="G147">
        <v>15510658</v>
      </c>
      <c r="H147" s="1">
        <v>1720</v>
      </c>
      <c r="I147" t="s">
        <v>28</v>
      </c>
      <c r="J147" s="1">
        <v>1678892.31</v>
      </c>
      <c r="K147" t="s">
        <v>26</v>
      </c>
      <c r="L147">
        <v>160324</v>
      </c>
      <c r="M147" t="str">
        <f>"ADVANCE AZFALYZA BINTI ABDU"</f>
        <v>ADVANCE AZFALYZA BINTI ABDU</v>
      </c>
      <c r="O147">
        <v>1</v>
      </c>
      <c r="P147" t="str">
        <f>"PGTEFT2207"</f>
        <v>PGTEFT2207</v>
      </c>
      <c r="Q147" t="str">
        <f>"ATM"</f>
        <v>ATM</v>
      </c>
    </row>
    <row r="148" spans="1:17" x14ac:dyDescent="0.25">
      <c r="A148">
        <v>8003879954</v>
      </c>
      <c r="B148">
        <v>14</v>
      </c>
      <c r="C148">
        <v>12042017</v>
      </c>
      <c r="D148">
        <v>60</v>
      </c>
      <c r="E148" t="s">
        <v>43</v>
      </c>
      <c r="F148">
        <v>9938</v>
      </c>
      <c r="G148">
        <v>15508795</v>
      </c>
      <c r="H148" s="1">
        <v>3498.49</v>
      </c>
      <c r="I148" t="s">
        <v>28</v>
      </c>
      <c r="J148" s="1">
        <v>1680612.31</v>
      </c>
      <c r="K148" t="s">
        <v>26</v>
      </c>
      <c r="L148">
        <v>160248</v>
      </c>
      <c r="M148" t="str">
        <f>"CLAIMS MARY ANN HARRIS"</f>
        <v>CLAIMS MARY ANN HARRIS</v>
      </c>
      <c r="O148">
        <v>1</v>
      </c>
      <c r="P148" t="str">
        <f>"PGTEFT2218"</f>
        <v>PGTEFT2218</v>
      </c>
      <c r="Q148" t="str">
        <f>"PCET PMED"</f>
        <v>PCET PMED</v>
      </c>
    </row>
    <row r="149" spans="1:17" x14ac:dyDescent="0.25">
      <c r="A149">
        <v>8003879954</v>
      </c>
      <c r="B149">
        <v>13</v>
      </c>
      <c r="C149">
        <v>12042017</v>
      </c>
      <c r="D149">
        <v>345</v>
      </c>
      <c r="E149" t="s">
        <v>27</v>
      </c>
      <c r="F149">
        <v>9938</v>
      </c>
      <c r="G149">
        <v>15509813</v>
      </c>
      <c r="H149" s="1">
        <v>3597</v>
      </c>
      <c r="I149" t="s">
        <v>28</v>
      </c>
      <c r="J149" s="1">
        <v>1684110.8</v>
      </c>
      <c r="K149" t="s">
        <v>26</v>
      </c>
      <c r="L149">
        <v>160246</v>
      </c>
      <c r="M149" t="str">
        <f>"ATM &amp; SHANGHAI DANNY TAN LEE KEONG"</f>
        <v>ATM &amp; SHANGHAI DANNY TAN LEE KEONG</v>
      </c>
      <c r="O149">
        <v>1</v>
      </c>
      <c r="P149" t="str">
        <f>"PGTEFT2211"</f>
        <v>PGTEFT2211</v>
      </c>
      <c r="Q149" t="str">
        <f>"ADVANCE"</f>
        <v>ADVANCE</v>
      </c>
    </row>
    <row r="150" spans="1:17" x14ac:dyDescent="0.25">
      <c r="A150">
        <v>8003879954</v>
      </c>
      <c r="B150">
        <v>12</v>
      </c>
      <c r="C150">
        <v>12042017</v>
      </c>
      <c r="D150">
        <v>60</v>
      </c>
      <c r="E150" t="s">
        <v>43</v>
      </c>
      <c r="F150">
        <v>9938</v>
      </c>
      <c r="G150">
        <v>15509384</v>
      </c>
      <c r="H150" s="1">
        <v>5300</v>
      </c>
      <c r="I150" t="s">
        <v>28</v>
      </c>
      <c r="J150" s="1">
        <v>1687707.8</v>
      </c>
      <c r="K150" t="s">
        <v>26</v>
      </c>
      <c r="L150">
        <v>160222</v>
      </c>
      <c r="M150" t="str">
        <f>"HOHO FOR STAR WARS ELANG WAH SDN. BHD."</f>
        <v>HOHO FOR STAR WARS ELANG WAH SDN. BHD.</v>
      </c>
      <c r="O150">
        <v>1</v>
      </c>
      <c r="P150" t="str">
        <f>"PGTEFT2214"</f>
        <v>PGTEFT2214</v>
      </c>
      <c r="Q150" t="str">
        <f>"EW-P-CHAPTER0406"</f>
        <v>EW-P-CHAPTER0406</v>
      </c>
    </row>
    <row r="151" spans="1:17" x14ac:dyDescent="0.25">
      <c r="A151">
        <v>8003879954</v>
      </c>
      <c r="B151">
        <v>11</v>
      </c>
      <c r="C151">
        <v>12042017</v>
      </c>
      <c r="D151">
        <v>60</v>
      </c>
      <c r="E151" t="s">
        <v>43</v>
      </c>
      <c r="F151">
        <v>9938</v>
      </c>
      <c r="G151">
        <v>15508606</v>
      </c>
      <c r="H151" s="1">
        <v>5501.4</v>
      </c>
      <c r="I151" t="s">
        <v>28</v>
      </c>
      <c r="J151" s="1">
        <v>1693007.8</v>
      </c>
      <c r="K151" t="s">
        <v>26</v>
      </c>
      <c r="L151">
        <v>160220</v>
      </c>
      <c r="M151" t="str">
        <f>"PCET BATIK PENANG BATIK FACTOR"</f>
        <v>PCET BATIK PENANG BATIK FACTOR</v>
      </c>
      <c r="O151">
        <v>1</v>
      </c>
      <c r="P151" t="str">
        <f>"PGTEFT2220"</f>
        <v>PGTEFT2220</v>
      </c>
      <c r="Q151" t="str">
        <f>"INVT05524"</f>
        <v>INVT05524</v>
      </c>
    </row>
    <row r="152" spans="1:17" x14ac:dyDescent="0.25">
      <c r="A152">
        <v>8003879954</v>
      </c>
      <c r="B152">
        <v>10</v>
      </c>
      <c r="C152">
        <v>12042017</v>
      </c>
      <c r="D152">
        <v>60</v>
      </c>
      <c r="E152" t="s">
        <v>43</v>
      </c>
      <c r="F152">
        <v>9938</v>
      </c>
      <c r="G152">
        <v>15509245</v>
      </c>
      <c r="H152" s="1">
        <v>7000</v>
      </c>
      <c r="I152" t="s">
        <v>28</v>
      </c>
      <c r="J152" s="1">
        <v>1698509.2</v>
      </c>
      <c r="K152" t="s">
        <v>26</v>
      </c>
      <c r="L152">
        <v>160213</v>
      </c>
      <c r="M152" t="str">
        <f>"PCET-PENCIL CASE HOOI CERAMICS &amp; GIF"</f>
        <v>PCET-PENCIL CASE HOOI CERAMICS &amp; GIF</v>
      </c>
      <c r="O152">
        <v>1</v>
      </c>
      <c r="P152" t="str">
        <f>"PGTEFT2215"</f>
        <v>PGTEFT2215</v>
      </c>
      <c r="Q152" t="str">
        <f>"INV2813"</f>
        <v>INV2813</v>
      </c>
    </row>
    <row r="153" spans="1:17" x14ac:dyDescent="0.25">
      <c r="A153">
        <v>8003879954</v>
      </c>
      <c r="B153">
        <v>9</v>
      </c>
      <c r="C153">
        <v>12042017</v>
      </c>
      <c r="D153">
        <v>343</v>
      </c>
      <c r="E153" t="s">
        <v>49</v>
      </c>
      <c r="F153">
        <v>9938</v>
      </c>
      <c r="G153">
        <v>2017041236219410</v>
      </c>
      <c r="H153" s="1">
        <v>760.15</v>
      </c>
      <c r="I153" t="s">
        <v>28</v>
      </c>
      <c r="J153" s="1">
        <v>1705509.2</v>
      </c>
      <c r="K153" t="s">
        <v>26</v>
      </c>
      <c r="L153">
        <v>160139</v>
      </c>
      <c r="M153" t="str">
        <f>"Pay to TNB: 220543728710"</f>
        <v>Pay to TNB: 220543728710</v>
      </c>
      <c r="O153">
        <v>1</v>
      </c>
    </row>
    <row r="154" spans="1:17" x14ac:dyDescent="0.25">
      <c r="A154">
        <v>8003879954</v>
      </c>
      <c r="B154">
        <v>8</v>
      </c>
      <c r="C154">
        <v>12042017</v>
      </c>
      <c r="D154">
        <v>343</v>
      </c>
      <c r="E154" t="s">
        <v>49</v>
      </c>
      <c r="F154">
        <v>9938</v>
      </c>
      <c r="G154">
        <v>2017041236219080</v>
      </c>
      <c r="H154" s="1">
        <v>28.95</v>
      </c>
      <c r="I154" t="s">
        <v>28</v>
      </c>
      <c r="J154" s="1">
        <v>1706269.35</v>
      </c>
      <c r="K154" t="s">
        <v>26</v>
      </c>
      <c r="L154">
        <v>160119</v>
      </c>
      <c r="M154" t="str">
        <f>"Pay to TNB: 220543740007"</f>
        <v>Pay to TNB: 220543740007</v>
      </c>
      <c r="O154">
        <v>1</v>
      </c>
    </row>
    <row r="155" spans="1:17" x14ac:dyDescent="0.25">
      <c r="A155">
        <v>8003879954</v>
      </c>
      <c r="B155">
        <v>7</v>
      </c>
      <c r="C155">
        <v>12042017</v>
      </c>
      <c r="D155">
        <v>343</v>
      </c>
      <c r="E155" t="s">
        <v>49</v>
      </c>
      <c r="F155">
        <v>9938</v>
      </c>
      <c r="G155">
        <v>2017041236219060</v>
      </c>
      <c r="H155" s="1">
        <v>23.05</v>
      </c>
      <c r="I155" t="s">
        <v>28</v>
      </c>
      <c r="J155" s="1">
        <v>1706298.3</v>
      </c>
      <c r="K155" t="s">
        <v>26</v>
      </c>
      <c r="L155">
        <v>160117</v>
      </c>
      <c r="M155" t="str">
        <f>"Pay to TNB: 220543735508"</f>
        <v>Pay to TNB: 220543735508</v>
      </c>
      <c r="O155">
        <v>1</v>
      </c>
    </row>
    <row r="156" spans="1:17" x14ac:dyDescent="0.25">
      <c r="A156">
        <v>8003879954</v>
      </c>
      <c r="B156">
        <v>6</v>
      </c>
      <c r="C156">
        <v>12042017</v>
      </c>
      <c r="D156">
        <v>343</v>
      </c>
      <c r="E156" t="s">
        <v>49</v>
      </c>
      <c r="F156">
        <v>9938</v>
      </c>
      <c r="G156">
        <v>2017041236218730</v>
      </c>
      <c r="H156" s="1">
        <v>1394.35</v>
      </c>
      <c r="I156" t="s">
        <v>28</v>
      </c>
      <c r="J156" s="1">
        <v>1706321.35</v>
      </c>
      <c r="K156" t="s">
        <v>26</v>
      </c>
      <c r="L156">
        <v>160058</v>
      </c>
      <c r="M156" t="str">
        <f>"Pay to TNB: 220543726302"</f>
        <v>Pay to TNB: 220543726302</v>
      </c>
      <c r="O156">
        <v>1</v>
      </c>
    </row>
    <row r="157" spans="1:17" x14ac:dyDescent="0.25">
      <c r="A157">
        <v>8003879954</v>
      </c>
      <c r="B157">
        <v>5</v>
      </c>
      <c r="C157">
        <v>12042017</v>
      </c>
      <c r="D157">
        <v>345</v>
      </c>
      <c r="E157" t="s">
        <v>27</v>
      </c>
      <c r="F157">
        <v>9938</v>
      </c>
      <c r="G157">
        <v>15537886</v>
      </c>
      <c r="H157" s="1">
        <v>2012.77</v>
      </c>
      <c r="I157" t="s">
        <v>28</v>
      </c>
      <c r="J157" s="1">
        <v>1707715.7</v>
      </c>
      <c r="K157" t="s">
        <v>26</v>
      </c>
      <c r="L157">
        <v>144648</v>
      </c>
      <c r="M157" t="str">
        <f>"ITB OOI CHOK YAN"</f>
        <v>ITB OOI CHOK YAN</v>
      </c>
      <c r="O157">
        <v>1</v>
      </c>
      <c r="P157" t="str">
        <f>"PGTEFT2237"</f>
        <v>PGTEFT2237</v>
      </c>
      <c r="Q157" t="str">
        <f>"CLAIMS"</f>
        <v>CLAIMS</v>
      </c>
    </row>
    <row r="158" spans="1:17" x14ac:dyDescent="0.25">
      <c r="A158">
        <v>8003879954</v>
      </c>
      <c r="B158">
        <v>4</v>
      </c>
      <c r="C158">
        <v>12042017</v>
      </c>
      <c r="D158">
        <v>341</v>
      </c>
      <c r="E158" t="s">
        <v>29</v>
      </c>
      <c r="F158">
        <v>9938</v>
      </c>
      <c r="G158">
        <v>15538034</v>
      </c>
      <c r="H158" s="1">
        <v>5066.8</v>
      </c>
      <c r="I158" t="s">
        <v>28</v>
      </c>
      <c r="J158" s="1">
        <v>1709728.47</v>
      </c>
      <c r="K158" t="s">
        <v>26</v>
      </c>
      <c r="L158">
        <v>144648</v>
      </c>
      <c r="M158" t="str">
        <f>"TWO PRO PRINT SERVIC"</f>
        <v>TWO PRO PRINT SERVIC</v>
      </c>
      <c r="O158">
        <v>1</v>
      </c>
      <c r="P158" t="str">
        <f>"PGTEFT2235"</f>
        <v>PGTEFT2235</v>
      </c>
      <c r="Q158" t="str">
        <f>"INV1409 INV1410"</f>
        <v>INV1409 INV1410</v>
      </c>
    </row>
    <row r="159" spans="1:17" x14ac:dyDescent="0.25">
      <c r="A159">
        <v>8003879954</v>
      </c>
      <c r="B159">
        <v>3</v>
      </c>
      <c r="C159">
        <v>12042017</v>
      </c>
      <c r="D159">
        <v>299</v>
      </c>
      <c r="E159" t="s">
        <v>30</v>
      </c>
      <c r="F159">
        <v>9938</v>
      </c>
      <c r="G159">
        <v>15538034</v>
      </c>
      <c r="H159" s="1">
        <v>0.01</v>
      </c>
      <c r="I159" t="s">
        <v>28</v>
      </c>
      <c r="J159" s="1">
        <v>1714795.27</v>
      </c>
      <c r="K159" t="s">
        <v>26</v>
      </c>
      <c r="L159">
        <v>144648</v>
      </c>
      <c r="M159" t="str">
        <f>"PGTEFT2235          INV1409 INV1410"</f>
        <v>PGTEFT2235          INV1409 INV1410</v>
      </c>
      <c r="O159">
        <v>1</v>
      </c>
    </row>
    <row r="160" spans="1:17" x14ac:dyDescent="0.25">
      <c r="A160">
        <v>8003879954</v>
      </c>
      <c r="B160">
        <v>2</v>
      </c>
      <c r="C160">
        <v>12042017</v>
      </c>
      <c r="D160">
        <v>489</v>
      </c>
      <c r="E160" t="s">
        <v>31</v>
      </c>
      <c r="F160">
        <v>9938</v>
      </c>
      <c r="G160">
        <v>15538034</v>
      </c>
      <c r="H160" s="1">
        <v>0.1</v>
      </c>
      <c r="I160" t="s">
        <v>28</v>
      </c>
      <c r="J160" s="1">
        <v>1714795.28</v>
      </c>
      <c r="K160" t="s">
        <v>26</v>
      </c>
      <c r="L160">
        <v>144648</v>
      </c>
      <c r="M160" t="str">
        <f>"PGTEFT2235          INV1409 INV1410"</f>
        <v>PGTEFT2235          INV1409 INV1410</v>
      </c>
      <c r="O160">
        <v>1</v>
      </c>
    </row>
    <row r="161" spans="1:17" x14ac:dyDescent="0.25">
      <c r="A161">
        <v>8003879954</v>
      </c>
      <c r="B161">
        <v>1</v>
      </c>
      <c r="C161">
        <v>12042017</v>
      </c>
      <c r="D161">
        <v>345</v>
      </c>
      <c r="E161" t="s">
        <v>27</v>
      </c>
      <c r="F161">
        <v>9938</v>
      </c>
      <c r="G161">
        <v>15537964</v>
      </c>
      <c r="H161" s="1">
        <v>3841.02</v>
      </c>
      <c r="I161" t="s">
        <v>28</v>
      </c>
      <c r="J161" s="1">
        <v>1714795.38</v>
      </c>
      <c r="K161" t="s">
        <v>26</v>
      </c>
      <c r="L161">
        <v>144646</v>
      </c>
      <c r="M161" t="str">
        <f>"ITB &amp; PUTRAJAYA YOON PAULINE"</f>
        <v>ITB &amp; PUTRAJAYA YOON PAULINE</v>
      </c>
      <c r="O161">
        <v>1</v>
      </c>
      <c r="P161" t="str">
        <f>"PGTEFT2236"</f>
        <v>PGTEFT2236</v>
      </c>
      <c r="Q161" t="str">
        <f>"CLAIMS"</f>
        <v>CLAIMS</v>
      </c>
    </row>
    <row r="162" spans="1:17" x14ac:dyDescent="0.25">
      <c r="A162">
        <v>8003879954</v>
      </c>
      <c r="B162">
        <v>3</v>
      </c>
      <c r="C162">
        <v>11042017</v>
      </c>
      <c r="D162">
        <v>299</v>
      </c>
      <c r="E162" t="s">
        <v>30</v>
      </c>
      <c r="G162"/>
      <c r="H162" s="1">
        <v>0.03</v>
      </c>
      <c r="I162" t="s">
        <v>28</v>
      </c>
      <c r="J162" s="1">
        <v>1718636.4</v>
      </c>
      <c r="K162" t="s">
        <v>26</v>
      </c>
      <c r="L162">
        <v>10245</v>
      </c>
      <c r="M162" t="str">
        <f>""</f>
        <v/>
      </c>
      <c r="O162">
        <v>1</v>
      </c>
    </row>
    <row r="163" spans="1:17" x14ac:dyDescent="0.25">
      <c r="A163">
        <v>8003879954</v>
      </c>
      <c r="B163">
        <v>2</v>
      </c>
      <c r="C163">
        <v>11042017</v>
      </c>
      <c r="D163">
        <v>819</v>
      </c>
      <c r="E163" t="s">
        <v>32</v>
      </c>
      <c r="G163"/>
      <c r="H163" s="1">
        <v>0.5</v>
      </c>
      <c r="I163" t="s">
        <v>28</v>
      </c>
      <c r="J163" s="1">
        <v>1718636.43</v>
      </c>
      <c r="K163" t="s">
        <v>26</v>
      </c>
      <c r="L163">
        <v>10245</v>
      </c>
      <c r="M163" t="str">
        <f>""</f>
        <v/>
      </c>
      <c r="O163">
        <v>1</v>
      </c>
    </row>
    <row r="164" spans="1:17" x14ac:dyDescent="0.25">
      <c r="A164">
        <v>8003879954</v>
      </c>
      <c r="B164">
        <v>1</v>
      </c>
      <c r="C164">
        <v>11042017</v>
      </c>
      <c r="D164">
        <v>321</v>
      </c>
      <c r="E164" t="s">
        <v>37</v>
      </c>
      <c r="F164">
        <v>0</v>
      </c>
      <c r="G164">
        <v>687900</v>
      </c>
      <c r="H164" s="1">
        <v>3987.65</v>
      </c>
      <c r="I164" t="s">
        <v>28</v>
      </c>
      <c r="J164" s="1">
        <v>1718636.93</v>
      </c>
      <c r="K164" t="s">
        <v>26</v>
      </c>
      <c r="L164">
        <v>10025</v>
      </c>
      <c r="M164" t="str">
        <f>""</f>
        <v/>
      </c>
      <c r="O164">
        <v>1</v>
      </c>
    </row>
    <row r="165" spans="1:17" x14ac:dyDescent="0.25">
      <c r="A165">
        <v>8003879954</v>
      </c>
      <c r="B165">
        <v>7</v>
      </c>
      <c r="C165">
        <v>10042017</v>
      </c>
      <c r="D165">
        <v>299</v>
      </c>
      <c r="E165" t="s">
        <v>30</v>
      </c>
      <c r="G165"/>
      <c r="H165" s="1">
        <v>0.03</v>
      </c>
      <c r="I165" t="s">
        <v>28</v>
      </c>
      <c r="J165" s="1">
        <v>1722624.58</v>
      </c>
      <c r="K165" t="s">
        <v>26</v>
      </c>
      <c r="L165">
        <v>10828</v>
      </c>
      <c r="M165" t="str">
        <f>""</f>
        <v/>
      </c>
      <c r="O165">
        <v>1</v>
      </c>
    </row>
    <row r="166" spans="1:17" x14ac:dyDescent="0.25">
      <c r="A166">
        <v>8003879954</v>
      </c>
      <c r="B166">
        <v>6</v>
      </c>
      <c r="C166">
        <v>10042017</v>
      </c>
      <c r="D166">
        <v>819</v>
      </c>
      <c r="E166" t="s">
        <v>32</v>
      </c>
      <c r="G166"/>
      <c r="H166" s="1">
        <v>0.5</v>
      </c>
      <c r="I166" t="s">
        <v>28</v>
      </c>
      <c r="J166" s="1">
        <v>1722624.61</v>
      </c>
      <c r="K166" t="s">
        <v>26</v>
      </c>
      <c r="L166">
        <v>10828</v>
      </c>
      <c r="M166" t="str">
        <f>""</f>
        <v/>
      </c>
      <c r="O166">
        <v>1</v>
      </c>
    </row>
    <row r="167" spans="1:17" x14ac:dyDescent="0.25">
      <c r="A167">
        <v>8003879954</v>
      </c>
      <c r="B167">
        <v>5</v>
      </c>
      <c r="C167">
        <v>10042017</v>
      </c>
      <c r="D167">
        <v>323</v>
      </c>
      <c r="E167" t="s">
        <v>33</v>
      </c>
      <c r="F167">
        <v>0</v>
      </c>
      <c r="G167">
        <v>687915</v>
      </c>
      <c r="H167" s="1">
        <v>20000</v>
      </c>
      <c r="I167" t="s">
        <v>28</v>
      </c>
      <c r="J167" s="1">
        <v>1722625.11</v>
      </c>
      <c r="K167" t="s">
        <v>26</v>
      </c>
      <c r="L167">
        <v>10645</v>
      </c>
      <c r="M167" t="str">
        <f>""</f>
        <v/>
      </c>
      <c r="O167">
        <v>1</v>
      </c>
    </row>
    <row r="168" spans="1:17" x14ac:dyDescent="0.25">
      <c r="A168">
        <v>8003879954</v>
      </c>
      <c r="B168">
        <v>4</v>
      </c>
      <c r="C168">
        <v>10042017</v>
      </c>
      <c r="D168">
        <v>299</v>
      </c>
      <c r="E168" t="s">
        <v>44</v>
      </c>
      <c r="F168">
        <v>72</v>
      </c>
      <c r="G168">
        <v>224485324</v>
      </c>
      <c r="H168" s="4">
        <v>1.8</v>
      </c>
      <c r="I168" t="s">
        <v>28</v>
      </c>
      <c r="J168" s="1">
        <v>1742625.11</v>
      </c>
      <c r="K168" t="s">
        <v>26</v>
      </c>
      <c r="L168">
        <v>152329</v>
      </c>
      <c r="M168" t="str">
        <f>"20008100417T0136"</f>
        <v>20008100417T0136</v>
      </c>
      <c r="O168">
        <v>1</v>
      </c>
    </row>
    <row r="169" spans="1:17" x14ac:dyDescent="0.25">
      <c r="A169">
        <v>8003879954</v>
      </c>
      <c r="B169">
        <v>3</v>
      </c>
      <c r="C169">
        <v>10042017</v>
      </c>
      <c r="D169">
        <v>415</v>
      </c>
      <c r="E169" t="s">
        <v>52</v>
      </c>
      <c r="F169">
        <v>72</v>
      </c>
      <c r="G169">
        <v>224485324</v>
      </c>
      <c r="H169" s="4">
        <v>30</v>
      </c>
      <c r="I169" t="s">
        <v>28</v>
      </c>
      <c r="J169" s="1">
        <v>1742626.91</v>
      </c>
      <c r="K169" t="s">
        <v>26</v>
      </c>
      <c r="L169">
        <v>152329</v>
      </c>
      <c r="M169" t="str">
        <f>"20008100417T0136"</f>
        <v>20008100417T0136</v>
      </c>
      <c r="O169">
        <v>1</v>
      </c>
    </row>
    <row r="170" spans="1:17" x14ac:dyDescent="0.25">
      <c r="A170">
        <v>8003879954</v>
      </c>
      <c r="B170">
        <v>2</v>
      </c>
      <c r="C170">
        <v>10042017</v>
      </c>
      <c r="D170">
        <v>349</v>
      </c>
      <c r="E170" t="s">
        <v>35</v>
      </c>
      <c r="F170">
        <v>72</v>
      </c>
      <c r="G170">
        <v>224485324</v>
      </c>
      <c r="H170" s="1">
        <v>109840.85</v>
      </c>
      <c r="I170" t="s">
        <v>28</v>
      </c>
      <c r="J170" s="1">
        <v>1742656.91</v>
      </c>
      <c r="K170" t="s">
        <v>26</v>
      </c>
      <c r="L170">
        <v>152329</v>
      </c>
      <c r="M170" t="str">
        <f>"20008100417T0136"</f>
        <v>20008100417T0136</v>
      </c>
      <c r="O170">
        <v>1</v>
      </c>
    </row>
    <row r="171" spans="1:17" x14ac:dyDescent="0.25">
      <c r="A171">
        <v>8003879954</v>
      </c>
      <c r="B171">
        <v>1</v>
      </c>
      <c r="C171">
        <v>10042017</v>
      </c>
      <c r="D171">
        <v>349</v>
      </c>
      <c r="E171" t="s">
        <v>35</v>
      </c>
      <c r="F171">
        <v>72</v>
      </c>
      <c r="G171">
        <v>224485330</v>
      </c>
      <c r="H171" s="1">
        <v>6500.25</v>
      </c>
      <c r="I171" t="s">
        <v>28</v>
      </c>
      <c r="J171" s="1">
        <v>1852497.76</v>
      </c>
      <c r="K171" t="s">
        <v>26</v>
      </c>
      <c r="L171">
        <v>151346</v>
      </c>
      <c r="M171" t="str">
        <f>"20008100417T0126    /CHINAPAY/"</f>
        <v>20008100417T0126    /CHINAPAY/</v>
      </c>
      <c r="O171">
        <v>1</v>
      </c>
    </row>
    <row r="172" spans="1:17" x14ac:dyDescent="0.25">
      <c r="A172">
        <v>8003879954</v>
      </c>
      <c r="B172">
        <v>12</v>
      </c>
      <c r="C172">
        <v>7042017</v>
      </c>
      <c r="D172">
        <v>299</v>
      </c>
      <c r="E172" t="s">
        <v>30</v>
      </c>
      <c r="G172"/>
      <c r="H172" s="1">
        <v>0.09</v>
      </c>
      <c r="I172" t="s">
        <v>28</v>
      </c>
      <c r="J172" s="1">
        <v>1858998.01</v>
      </c>
      <c r="K172" t="s">
        <v>26</v>
      </c>
      <c r="L172">
        <v>71207</v>
      </c>
      <c r="M172" t="str">
        <f>""</f>
        <v/>
      </c>
      <c r="O172">
        <v>1</v>
      </c>
    </row>
    <row r="173" spans="1:17" x14ac:dyDescent="0.25">
      <c r="A173">
        <v>8003879954</v>
      </c>
      <c r="B173">
        <v>11</v>
      </c>
      <c r="C173">
        <v>7042017</v>
      </c>
      <c r="D173">
        <v>819</v>
      </c>
      <c r="E173" t="s">
        <v>32</v>
      </c>
      <c r="G173"/>
      <c r="H173" s="1">
        <v>1.5</v>
      </c>
      <c r="I173" t="s">
        <v>28</v>
      </c>
      <c r="J173" s="1">
        <v>1858998.1</v>
      </c>
      <c r="K173" t="s">
        <v>26</v>
      </c>
      <c r="L173">
        <v>71207</v>
      </c>
      <c r="M173" t="str">
        <f>""</f>
        <v/>
      </c>
      <c r="O173">
        <v>1</v>
      </c>
    </row>
    <row r="174" spans="1:17" x14ac:dyDescent="0.25">
      <c r="A174">
        <v>8003879954</v>
      </c>
      <c r="B174">
        <v>10</v>
      </c>
      <c r="C174">
        <v>7042017</v>
      </c>
      <c r="D174">
        <v>299</v>
      </c>
      <c r="E174" t="s">
        <v>30</v>
      </c>
      <c r="G174"/>
      <c r="H174" s="1">
        <v>0.12</v>
      </c>
      <c r="I174" t="s">
        <v>28</v>
      </c>
      <c r="J174" s="1">
        <v>1858999.6</v>
      </c>
      <c r="K174" t="s">
        <v>26</v>
      </c>
      <c r="L174">
        <v>71207</v>
      </c>
      <c r="M174" t="str">
        <f>""</f>
        <v/>
      </c>
      <c r="O174">
        <v>1</v>
      </c>
    </row>
    <row r="175" spans="1:17" x14ac:dyDescent="0.25">
      <c r="A175">
        <v>8003879954</v>
      </c>
      <c r="B175">
        <v>9</v>
      </c>
      <c r="C175">
        <v>7042017</v>
      </c>
      <c r="D175">
        <v>819</v>
      </c>
      <c r="E175" t="s">
        <v>32</v>
      </c>
      <c r="G175"/>
      <c r="H175" s="1">
        <v>2</v>
      </c>
      <c r="I175" t="s">
        <v>28</v>
      </c>
      <c r="J175" s="1">
        <v>1858999.72</v>
      </c>
      <c r="K175" t="s">
        <v>26</v>
      </c>
      <c r="L175">
        <v>71207</v>
      </c>
      <c r="M175" t="str">
        <f>""</f>
        <v/>
      </c>
      <c r="O175">
        <v>1</v>
      </c>
    </row>
    <row r="176" spans="1:17" x14ac:dyDescent="0.25">
      <c r="A176">
        <v>8003879954</v>
      </c>
      <c r="B176">
        <v>8</v>
      </c>
      <c r="C176">
        <v>7042017</v>
      </c>
      <c r="D176">
        <v>323</v>
      </c>
      <c r="E176" t="s">
        <v>33</v>
      </c>
      <c r="F176">
        <v>0</v>
      </c>
      <c r="G176">
        <v>687921</v>
      </c>
      <c r="H176" s="1">
        <v>20564</v>
      </c>
      <c r="I176" t="s">
        <v>28</v>
      </c>
      <c r="J176" s="1">
        <v>1859001.72</v>
      </c>
      <c r="K176" t="s">
        <v>26</v>
      </c>
      <c r="L176">
        <v>71023</v>
      </c>
      <c r="M176" t="str">
        <f>""</f>
        <v/>
      </c>
      <c r="O176">
        <v>1</v>
      </c>
    </row>
    <row r="177" spans="1:17" x14ac:dyDescent="0.25">
      <c r="A177">
        <v>8003879954</v>
      </c>
      <c r="B177">
        <v>7</v>
      </c>
      <c r="C177">
        <v>7042017</v>
      </c>
      <c r="D177">
        <v>321</v>
      </c>
      <c r="E177" t="s">
        <v>37</v>
      </c>
      <c r="F177">
        <v>0</v>
      </c>
      <c r="G177">
        <v>687916</v>
      </c>
      <c r="H177" s="1">
        <v>13780</v>
      </c>
      <c r="I177" t="s">
        <v>28</v>
      </c>
      <c r="J177" s="1">
        <v>1879565.72</v>
      </c>
      <c r="K177" t="s">
        <v>26</v>
      </c>
      <c r="L177">
        <v>71023</v>
      </c>
      <c r="M177" t="str">
        <f>""</f>
        <v/>
      </c>
      <c r="O177">
        <v>1</v>
      </c>
    </row>
    <row r="178" spans="1:17" x14ac:dyDescent="0.25">
      <c r="A178">
        <v>8003879954</v>
      </c>
      <c r="B178">
        <v>6</v>
      </c>
      <c r="C178">
        <v>7042017</v>
      </c>
      <c r="D178">
        <v>323</v>
      </c>
      <c r="E178" t="s">
        <v>33</v>
      </c>
      <c r="F178">
        <v>0</v>
      </c>
      <c r="G178">
        <v>687914</v>
      </c>
      <c r="H178" s="1">
        <v>31111</v>
      </c>
      <c r="I178" t="s">
        <v>28</v>
      </c>
      <c r="J178" s="1">
        <v>1893345.72</v>
      </c>
      <c r="K178" t="s">
        <v>26</v>
      </c>
      <c r="L178">
        <v>71023</v>
      </c>
      <c r="M178" t="str">
        <f>""</f>
        <v/>
      </c>
      <c r="O178">
        <v>1</v>
      </c>
    </row>
    <row r="179" spans="1:17" x14ac:dyDescent="0.25">
      <c r="A179">
        <v>8003879954</v>
      </c>
      <c r="B179">
        <v>5</v>
      </c>
      <c r="C179">
        <v>7042017</v>
      </c>
      <c r="D179">
        <v>323</v>
      </c>
      <c r="E179" t="s">
        <v>33</v>
      </c>
      <c r="F179">
        <v>0</v>
      </c>
      <c r="G179">
        <v>687911</v>
      </c>
      <c r="H179" s="1">
        <v>10667.84</v>
      </c>
      <c r="I179" t="s">
        <v>28</v>
      </c>
      <c r="J179" s="1">
        <v>1924456.72</v>
      </c>
      <c r="K179" t="s">
        <v>26</v>
      </c>
      <c r="L179">
        <v>71023</v>
      </c>
      <c r="M179" t="str">
        <f>""</f>
        <v/>
      </c>
      <c r="O179">
        <v>1</v>
      </c>
    </row>
    <row r="180" spans="1:17" x14ac:dyDescent="0.25">
      <c r="A180">
        <v>8003879954</v>
      </c>
      <c r="B180">
        <v>4</v>
      </c>
      <c r="C180">
        <v>7042017</v>
      </c>
      <c r="D180">
        <v>323</v>
      </c>
      <c r="E180" t="s">
        <v>33</v>
      </c>
      <c r="F180">
        <v>0</v>
      </c>
      <c r="G180">
        <v>687908</v>
      </c>
      <c r="H180" s="1">
        <v>212000</v>
      </c>
      <c r="I180" t="s">
        <v>28</v>
      </c>
      <c r="J180" s="1">
        <v>1935124.56</v>
      </c>
      <c r="K180" t="s">
        <v>26</v>
      </c>
      <c r="L180">
        <v>71023</v>
      </c>
      <c r="M180" t="str">
        <f>""</f>
        <v/>
      </c>
      <c r="O180">
        <v>1</v>
      </c>
    </row>
    <row r="181" spans="1:17" x14ac:dyDescent="0.25">
      <c r="A181">
        <v>8003879954</v>
      </c>
      <c r="B181">
        <v>3</v>
      </c>
      <c r="C181">
        <v>7042017</v>
      </c>
      <c r="D181">
        <v>321</v>
      </c>
      <c r="E181" t="s">
        <v>37</v>
      </c>
      <c r="F181">
        <v>0</v>
      </c>
      <c r="G181">
        <v>687907</v>
      </c>
      <c r="H181" s="1">
        <v>594</v>
      </c>
      <c r="I181" t="s">
        <v>28</v>
      </c>
      <c r="J181" s="1">
        <v>2147124.56</v>
      </c>
      <c r="K181" t="s">
        <v>26</v>
      </c>
      <c r="L181">
        <v>71023</v>
      </c>
      <c r="M181" t="str">
        <f>""</f>
        <v/>
      </c>
      <c r="O181">
        <v>1</v>
      </c>
    </row>
    <row r="182" spans="1:17" x14ac:dyDescent="0.25">
      <c r="A182">
        <v>8003879954</v>
      </c>
      <c r="B182">
        <v>2</v>
      </c>
      <c r="C182">
        <v>7042017</v>
      </c>
      <c r="D182">
        <v>321</v>
      </c>
      <c r="E182" t="s">
        <v>37</v>
      </c>
      <c r="F182">
        <v>0</v>
      </c>
      <c r="G182">
        <v>687906</v>
      </c>
      <c r="H182" s="1">
        <v>938.25</v>
      </c>
      <c r="I182" t="s">
        <v>28</v>
      </c>
      <c r="J182" s="1">
        <v>2147718.56</v>
      </c>
      <c r="K182" t="s">
        <v>26</v>
      </c>
      <c r="L182">
        <v>71023</v>
      </c>
      <c r="M182" t="str">
        <f>""</f>
        <v/>
      </c>
      <c r="O182">
        <v>1</v>
      </c>
    </row>
    <row r="183" spans="1:17" x14ac:dyDescent="0.25">
      <c r="A183">
        <v>8003879954</v>
      </c>
      <c r="B183">
        <v>1</v>
      </c>
      <c r="C183">
        <v>7042017</v>
      </c>
      <c r="D183">
        <v>141</v>
      </c>
      <c r="E183" t="s">
        <v>48</v>
      </c>
      <c r="F183">
        <v>2001</v>
      </c>
      <c r="G183">
        <v>17001331</v>
      </c>
      <c r="H183" s="1">
        <v>500000</v>
      </c>
      <c r="I183" t="s">
        <v>26</v>
      </c>
      <c r="J183" s="1">
        <v>2148656.81</v>
      </c>
      <c r="K183" t="s">
        <v>26</v>
      </c>
      <c r="L183">
        <v>153109</v>
      </c>
      <c r="M183" t="str">
        <f>"PDC/PV17001331 DANA OPERASI FASA PE"</f>
        <v>PDC/PV17001331 DANA OPERASI FASA PE</v>
      </c>
      <c r="O183">
        <v>1</v>
      </c>
      <c r="P183" t="str">
        <f>"PDC/PV17001331 DANA"</f>
        <v>PDC/PV17001331 DANA</v>
      </c>
      <c r="Q183" t="str">
        <f>"Transfer from CIMB"</f>
        <v>Transfer from CIMB</v>
      </c>
    </row>
    <row r="184" spans="1:17" x14ac:dyDescent="0.25">
      <c r="A184">
        <v>8003879954</v>
      </c>
      <c r="B184">
        <v>12</v>
      </c>
      <c r="C184">
        <v>6042017</v>
      </c>
      <c r="D184">
        <v>299</v>
      </c>
      <c r="E184" t="s">
        <v>30</v>
      </c>
      <c r="G184"/>
      <c r="H184" s="1">
        <v>0.03</v>
      </c>
      <c r="I184" t="s">
        <v>28</v>
      </c>
      <c r="J184" s="1">
        <v>1648656.81</v>
      </c>
      <c r="K184" t="s">
        <v>26</v>
      </c>
      <c r="L184">
        <v>10737</v>
      </c>
      <c r="M184" t="str">
        <f>""</f>
        <v/>
      </c>
      <c r="O184">
        <v>1</v>
      </c>
    </row>
    <row r="185" spans="1:17" x14ac:dyDescent="0.25">
      <c r="A185">
        <v>8003879954</v>
      </c>
      <c r="B185">
        <v>11</v>
      </c>
      <c r="C185">
        <v>6042017</v>
      </c>
      <c r="D185">
        <v>819</v>
      </c>
      <c r="E185" t="s">
        <v>32</v>
      </c>
      <c r="G185"/>
      <c r="H185" s="1">
        <v>0.5</v>
      </c>
      <c r="I185" t="s">
        <v>28</v>
      </c>
      <c r="J185" s="1">
        <v>1648656.84</v>
      </c>
      <c r="K185" t="s">
        <v>26</v>
      </c>
      <c r="L185">
        <v>10737</v>
      </c>
      <c r="M185" t="str">
        <f>""</f>
        <v/>
      </c>
      <c r="O185">
        <v>1</v>
      </c>
    </row>
    <row r="186" spans="1:17" x14ac:dyDescent="0.25">
      <c r="A186">
        <v>8003879954</v>
      </c>
      <c r="B186">
        <v>10</v>
      </c>
      <c r="C186">
        <v>6042017</v>
      </c>
      <c r="D186">
        <v>299</v>
      </c>
      <c r="E186" t="s">
        <v>30</v>
      </c>
      <c r="G186"/>
      <c r="H186" s="1">
        <v>0.12</v>
      </c>
      <c r="I186" t="s">
        <v>28</v>
      </c>
      <c r="J186" s="1">
        <v>1648657.34</v>
      </c>
      <c r="K186" t="s">
        <v>26</v>
      </c>
      <c r="L186">
        <v>10737</v>
      </c>
      <c r="M186" t="str">
        <f>""</f>
        <v/>
      </c>
      <c r="O186">
        <v>1</v>
      </c>
    </row>
    <row r="187" spans="1:17" x14ac:dyDescent="0.25">
      <c r="A187">
        <v>8003879954</v>
      </c>
      <c r="B187">
        <v>9</v>
      </c>
      <c r="C187">
        <v>6042017</v>
      </c>
      <c r="D187">
        <v>819</v>
      </c>
      <c r="E187" t="s">
        <v>32</v>
      </c>
      <c r="G187"/>
      <c r="H187" s="1">
        <v>2</v>
      </c>
      <c r="I187" t="s">
        <v>28</v>
      </c>
      <c r="J187" s="1">
        <v>1648657.46</v>
      </c>
      <c r="K187" t="s">
        <v>26</v>
      </c>
      <c r="L187">
        <v>10737</v>
      </c>
      <c r="M187" t="str">
        <f>""</f>
        <v/>
      </c>
      <c r="O187">
        <v>1</v>
      </c>
    </row>
    <row r="188" spans="1:17" x14ac:dyDescent="0.25">
      <c r="A188">
        <v>8003879954</v>
      </c>
      <c r="B188">
        <v>8</v>
      </c>
      <c r="C188">
        <v>6042017</v>
      </c>
      <c r="D188">
        <v>321</v>
      </c>
      <c r="E188" t="s">
        <v>37</v>
      </c>
      <c r="F188">
        <v>0</v>
      </c>
      <c r="G188">
        <v>687910</v>
      </c>
      <c r="H188" s="1">
        <v>79712</v>
      </c>
      <c r="I188" t="s">
        <v>28</v>
      </c>
      <c r="J188" s="1">
        <v>1648659.46</v>
      </c>
      <c r="K188" t="s">
        <v>26</v>
      </c>
      <c r="L188">
        <v>10539</v>
      </c>
      <c r="M188" t="str">
        <f>""</f>
        <v/>
      </c>
      <c r="O188">
        <v>1</v>
      </c>
    </row>
    <row r="189" spans="1:17" x14ac:dyDescent="0.25">
      <c r="A189">
        <v>8003879954</v>
      </c>
      <c r="B189">
        <v>7</v>
      </c>
      <c r="C189">
        <v>6042017</v>
      </c>
      <c r="D189">
        <v>323</v>
      </c>
      <c r="E189" t="s">
        <v>33</v>
      </c>
      <c r="F189">
        <v>0</v>
      </c>
      <c r="G189">
        <v>687905</v>
      </c>
      <c r="H189" s="1">
        <v>44520</v>
      </c>
      <c r="I189" t="s">
        <v>28</v>
      </c>
      <c r="J189" s="1">
        <v>1728371.46</v>
      </c>
      <c r="K189" t="s">
        <v>26</v>
      </c>
      <c r="L189">
        <v>10539</v>
      </c>
      <c r="M189" t="str">
        <f>""</f>
        <v/>
      </c>
      <c r="O189">
        <v>1</v>
      </c>
    </row>
    <row r="190" spans="1:17" x14ac:dyDescent="0.25">
      <c r="A190">
        <v>8003879954</v>
      </c>
      <c r="B190">
        <v>6</v>
      </c>
      <c r="C190">
        <v>6042017</v>
      </c>
      <c r="D190">
        <v>323</v>
      </c>
      <c r="E190" t="s">
        <v>33</v>
      </c>
      <c r="F190">
        <v>0</v>
      </c>
      <c r="G190">
        <v>687904</v>
      </c>
      <c r="H190" s="1">
        <v>13580</v>
      </c>
      <c r="I190" t="s">
        <v>28</v>
      </c>
      <c r="J190" s="1">
        <v>1772891.46</v>
      </c>
      <c r="K190" t="s">
        <v>26</v>
      </c>
      <c r="L190">
        <v>10539</v>
      </c>
      <c r="M190" t="str">
        <f>""</f>
        <v/>
      </c>
      <c r="O190">
        <v>1</v>
      </c>
    </row>
    <row r="191" spans="1:17" x14ac:dyDescent="0.25">
      <c r="A191">
        <v>8003879954</v>
      </c>
      <c r="B191">
        <v>5</v>
      </c>
      <c r="C191">
        <v>6042017</v>
      </c>
      <c r="D191">
        <v>323</v>
      </c>
      <c r="E191" t="s">
        <v>33</v>
      </c>
      <c r="F191">
        <v>0</v>
      </c>
      <c r="G191">
        <v>687903</v>
      </c>
      <c r="H191" s="1">
        <v>86552.92</v>
      </c>
      <c r="I191" t="s">
        <v>28</v>
      </c>
      <c r="J191" s="1">
        <v>1786471.46</v>
      </c>
      <c r="K191" t="s">
        <v>26</v>
      </c>
      <c r="L191">
        <v>10539</v>
      </c>
      <c r="M191" t="str">
        <f>""</f>
        <v/>
      </c>
      <c r="O191">
        <v>1</v>
      </c>
    </row>
    <row r="192" spans="1:17" x14ac:dyDescent="0.25">
      <c r="A192">
        <v>8003879954</v>
      </c>
      <c r="B192">
        <v>4</v>
      </c>
      <c r="C192">
        <v>6042017</v>
      </c>
      <c r="D192">
        <v>323</v>
      </c>
      <c r="E192" t="s">
        <v>33</v>
      </c>
      <c r="F192">
        <v>0</v>
      </c>
      <c r="G192">
        <v>687902</v>
      </c>
      <c r="H192" s="1">
        <v>18019.2</v>
      </c>
      <c r="I192" t="s">
        <v>28</v>
      </c>
      <c r="J192" s="1">
        <v>1873024.38</v>
      </c>
      <c r="K192" t="s">
        <v>26</v>
      </c>
      <c r="L192">
        <v>10539</v>
      </c>
      <c r="M192" t="str">
        <f>""</f>
        <v/>
      </c>
      <c r="O192">
        <v>1</v>
      </c>
    </row>
    <row r="193" spans="1:17" x14ac:dyDescent="0.25">
      <c r="A193">
        <v>8003879954</v>
      </c>
      <c r="B193">
        <v>3</v>
      </c>
      <c r="C193">
        <v>6042017</v>
      </c>
      <c r="D193">
        <v>299</v>
      </c>
      <c r="E193" t="s">
        <v>44</v>
      </c>
      <c r="F193">
        <v>72</v>
      </c>
      <c r="G193">
        <v>206806050</v>
      </c>
      <c r="H193" s="5">
        <v>0.6</v>
      </c>
      <c r="I193" t="s">
        <v>28</v>
      </c>
      <c r="J193" s="1">
        <v>1891043.58</v>
      </c>
      <c r="K193" t="s">
        <v>26</v>
      </c>
      <c r="L193">
        <v>162109</v>
      </c>
      <c r="M193" t="str">
        <f>"20008060417T0176"</f>
        <v>20008060417T0176</v>
      </c>
      <c r="O193">
        <v>1</v>
      </c>
    </row>
    <row r="194" spans="1:17" x14ac:dyDescent="0.25">
      <c r="A194">
        <v>8003879954</v>
      </c>
      <c r="B194">
        <v>2</v>
      </c>
      <c r="C194">
        <v>6042017</v>
      </c>
      <c r="D194">
        <v>415</v>
      </c>
      <c r="E194" t="s">
        <v>34</v>
      </c>
      <c r="F194">
        <v>72</v>
      </c>
      <c r="G194">
        <v>206806050</v>
      </c>
      <c r="H194" s="1">
        <v>10</v>
      </c>
      <c r="I194" t="s">
        <v>28</v>
      </c>
      <c r="J194" s="1">
        <v>1891044.18</v>
      </c>
      <c r="K194" t="s">
        <v>26</v>
      </c>
      <c r="L194">
        <v>162109</v>
      </c>
      <c r="M194" t="str">
        <f>"20008060417T0176"</f>
        <v>20008060417T0176</v>
      </c>
      <c r="O194">
        <v>1</v>
      </c>
    </row>
    <row r="195" spans="1:17" x14ac:dyDescent="0.25">
      <c r="A195">
        <v>8003879954</v>
      </c>
      <c r="B195">
        <v>1</v>
      </c>
      <c r="C195">
        <v>6042017</v>
      </c>
      <c r="D195">
        <v>349</v>
      </c>
      <c r="E195" t="s">
        <v>35</v>
      </c>
      <c r="F195">
        <v>72</v>
      </c>
      <c r="G195">
        <v>206806050</v>
      </c>
      <c r="H195" s="1">
        <v>13010.22</v>
      </c>
      <c r="I195" t="s">
        <v>28</v>
      </c>
      <c r="J195" s="1">
        <v>1891054.18</v>
      </c>
      <c r="K195" t="s">
        <v>26</v>
      </c>
      <c r="L195">
        <v>162109</v>
      </c>
      <c r="M195" t="str">
        <f>"20008060417T0176"</f>
        <v>20008060417T0176</v>
      </c>
      <c r="O195">
        <v>1</v>
      </c>
    </row>
    <row r="196" spans="1:17" x14ac:dyDescent="0.25">
      <c r="A196">
        <v>8003879954</v>
      </c>
      <c r="B196">
        <v>4</v>
      </c>
      <c r="C196">
        <v>5042017</v>
      </c>
      <c r="D196">
        <v>489</v>
      </c>
      <c r="E196" t="s">
        <v>137</v>
      </c>
      <c r="G196"/>
      <c r="H196" s="1">
        <v>45</v>
      </c>
      <c r="I196" t="s">
        <v>28</v>
      </c>
      <c r="J196" s="1">
        <v>1904064.4</v>
      </c>
      <c r="K196" t="s">
        <v>26</v>
      </c>
      <c r="L196">
        <v>225904</v>
      </c>
      <c r="M196" t="str">
        <f>""</f>
        <v/>
      </c>
      <c r="O196">
        <v>1</v>
      </c>
    </row>
    <row r="197" spans="1:17" x14ac:dyDescent="0.25">
      <c r="A197">
        <v>8003879954</v>
      </c>
      <c r="B197">
        <v>3</v>
      </c>
      <c r="C197">
        <v>5042017</v>
      </c>
      <c r="D197">
        <v>60</v>
      </c>
      <c r="E197" t="s">
        <v>43</v>
      </c>
      <c r="F197">
        <v>9938</v>
      </c>
      <c r="G197">
        <v>15319411</v>
      </c>
      <c r="H197" s="1">
        <v>4000</v>
      </c>
      <c r="I197" t="s">
        <v>28</v>
      </c>
      <c r="J197" s="1">
        <v>1904109.4</v>
      </c>
      <c r="K197" t="s">
        <v>26</v>
      </c>
      <c r="L197">
        <v>175317</v>
      </c>
      <c r="M197" t="str">
        <f>"PARTICIPATION FEE LEMBAGA PENGGALAKAN"</f>
        <v>PARTICIPATION FEE LEMBAGA PENGGALAKAN</v>
      </c>
      <c r="O197">
        <v>1</v>
      </c>
      <c r="P197" t="str">
        <f>"PGTEFT2206"</f>
        <v>PGTEFT2206</v>
      </c>
      <c r="Q197" t="str">
        <f>"ATM DUBAI"</f>
        <v>ATM DUBAI</v>
      </c>
    </row>
    <row r="198" spans="1:17" x14ac:dyDescent="0.25">
      <c r="A198">
        <v>8003879954</v>
      </c>
      <c r="B198">
        <v>2</v>
      </c>
      <c r="C198">
        <v>5042017</v>
      </c>
      <c r="D198">
        <v>345</v>
      </c>
      <c r="E198" t="s">
        <v>27</v>
      </c>
      <c r="F198">
        <v>9938</v>
      </c>
      <c r="G198">
        <v>15319575</v>
      </c>
      <c r="H198" s="1">
        <v>190.8</v>
      </c>
      <c r="I198" t="s">
        <v>28</v>
      </c>
      <c r="J198" s="1">
        <v>1908109.4</v>
      </c>
      <c r="K198" t="s">
        <v>26</v>
      </c>
      <c r="L198">
        <v>175314</v>
      </c>
      <c r="M198" t="str">
        <f>"PTE PHOTO NG SEE LOK"</f>
        <v>PTE PHOTO NG SEE LOK</v>
      </c>
      <c r="O198">
        <v>1</v>
      </c>
      <c r="P198" t="str">
        <f>"PGTEFT2207"</f>
        <v>PGTEFT2207</v>
      </c>
      <c r="Q198" t="str">
        <f>"ADVANCE PAYMENT"</f>
        <v>ADVANCE PAYMENT</v>
      </c>
    </row>
    <row r="199" spans="1:17" x14ac:dyDescent="0.25">
      <c r="A199">
        <v>8003879954</v>
      </c>
      <c r="B199">
        <v>1</v>
      </c>
      <c r="C199">
        <v>5042017</v>
      </c>
      <c r="D199">
        <v>60</v>
      </c>
      <c r="E199" t="s">
        <v>43</v>
      </c>
      <c r="F199">
        <v>9938</v>
      </c>
      <c r="G199">
        <v>15319240</v>
      </c>
      <c r="H199" s="1">
        <v>122</v>
      </c>
      <c r="I199" t="s">
        <v>28</v>
      </c>
      <c r="J199" s="1">
        <v>1908300.2</v>
      </c>
      <c r="K199" t="s">
        <v>26</v>
      </c>
      <c r="L199">
        <v>175314</v>
      </c>
      <c r="M199" t="str">
        <f>"NO. ANSURAN 3, TAHUN AKAUN KJAAN MSIA PU"</f>
        <v>NO. ANSURAN 3, TAHUN AKAUN KJAAN MSIA PU</v>
      </c>
      <c r="O199">
        <v>1</v>
      </c>
      <c r="P199" t="str">
        <f>"PGTEFT2205"</f>
        <v>PGTEFT2205</v>
      </c>
      <c r="Q199" t="str">
        <f>"C285195105"</f>
        <v>C285195105</v>
      </c>
    </row>
    <row r="200" spans="1:17" x14ac:dyDescent="0.25">
      <c r="A200">
        <v>8003879954</v>
      </c>
      <c r="B200">
        <v>2</v>
      </c>
      <c r="C200">
        <v>3042017</v>
      </c>
      <c r="D200">
        <v>299</v>
      </c>
      <c r="E200" t="s">
        <v>44</v>
      </c>
      <c r="F200">
        <v>1419</v>
      </c>
      <c r="G200">
        <v>2545288</v>
      </c>
      <c r="H200" s="4">
        <v>3</v>
      </c>
      <c r="I200" t="s">
        <v>28</v>
      </c>
      <c r="J200" s="1">
        <v>1908422.2</v>
      </c>
      <c r="K200" t="s">
        <v>26</v>
      </c>
      <c r="L200">
        <v>141839</v>
      </c>
      <c r="M200" t="str">
        <f>"AUDIT CONFIRMATION FYE DEC 2016"</f>
        <v>AUDIT CONFIRMATION FYE DEC 2016</v>
      </c>
      <c r="O200">
        <v>1</v>
      </c>
    </row>
    <row r="201" spans="1:17" x14ac:dyDescent="0.25">
      <c r="A201">
        <v>8003879954</v>
      </c>
      <c r="B201">
        <v>1</v>
      </c>
      <c r="C201">
        <v>3042017</v>
      </c>
      <c r="D201">
        <v>489</v>
      </c>
      <c r="E201" t="s">
        <v>138</v>
      </c>
      <c r="F201">
        <v>1419</v>
      </c>
      <c r="G201">
        <v>2545288</v>
      </c>
      <c r="H201" s="1">
        <v>50</v>
      </c>
      <c r="I201" t="s">
        <v>28</v>
      </c>
      <c r="J201" s="1">
        <v>1908425.2</v>
      </c>
      <c r="K201" t="s">
        <v>26</v>
      </c>
      <c r="L201">
        <v>141839</v>
      </c>
      <c r="M201" t="str">
        <f>"AUDIT CONFIRMATION FYE DEC 2016"</f>
        <v>AUDIT CONFIRMATION FYE DEC 2016</v>
      </c>
      <c r="O201">
        <v>1</v>
      </c>
    </row>
    <row r="203" spans="1:17" x14ac:dyDescent="0.25">
      <c r="H203" s="1">
        <f>SUBTOTAL(9,H8:H201)</f>
        <v>3313938.1200000006</v>
      </c>
    </row>
  </sheetData>
  <autoFilter ref="A7:R20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13"/>
  <sheetViews>
    <sheetView topLeftCell="A177" workbookViewId="0">
      <selection activeCell="H213" sqref="H213"/>
    </sheetView>
  </sheetViews>
  <sheetFormatPr defaultRowHeight="15" x14ac:dyDescent="0.25"/>
  <cols>
    <col min="1" max="1" width="11" bestFit="1" customWidth="1"/>
    <col min="5" max="5" width="29.5703125" bestFit="1" customWidth="1"/>
    <col min="7" max="7" width="18.28515625" customWidth="1"/>
    <col min="8" max="8" width="13.28515625" style="1" bestFit="1" customWidth="1"/>
    <col min="10" max="10" width="13.28515625" style="1" bestFit="1" customWidth="1"/>
    <col min="12" max="12" width="11.5703125" style="1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133</v>
      </c>
    </row>
    <row r="5" spans="1:18" x14ac:dyDescent="0.25">
      <c r="A5" t="s">
        <v>134</v>
      </c>
    </row>
    <row r="6" spans="1:18" x14ac:dyDescent="0.25">
      <c r="A6" t="s">
        <v>135</v>
      </c>
    </row>
    <row r="7" spans="1:18" x14ac:dyDescent="0.25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s="1" t="s">
        <v>14</v>
      </c>
      <c r="I7" t="s">
        <v>15</v>
      </c>
      <c r="J7" s="1" t="s">
        <v>16</v>
      </c>
      <c r="K7" t="s">
        <v>17</v>
      </c>
      <c r="L7" s="1" t="s">
        <v>18</v>
      </c>
      <c r="M7" t="s">
        <v>19</v>
      </c>
      <c r="N7" t="s">
        <v>20</v>
      </c>
      <c r="O7" t="s">
        <v>21</v>
      </c>
      <c r="P7" t="s">
        <v>22</v>
      </c>
      <c r="Q7" t="s">
        <v>23</v>
      </c>
      <c r="R7" t="s">
        <v>24</v>
      </c>
    </row>
    <row r="8" spans="1:18" x14ac:dyDescent="0.25">
      <c r="A8">
        <v>8003879954</v>
      </c>
      <c r="B8">
        <v>3</v>
      </c>
      <c r="C8">
        <v>31052017</v>
      </c>
      <c r="D8">
        <v>299</v>
      </c>
      <c r="E8" t="str">
        <f>"GST"</f>
        <v>GST</v>
      </c>
      <c r="F8">
        <v>2001</v>
      </c>
      <c r="G8" t="str">
        <f>"98999334"</f>
        <v>98999334</v>
      </c>
      <c r="H8" s="1">
        <v>2.0699999999999998</v>
      </c>
      <c r="I8" t="s">
        <v>28</v>
      </c>
      <c r="J8" s="1">
        <v>546511.84</v>
      </c>
      <c r="K8" t="s">
        <v>26</v>
      </c>
      <c r="L8">
        <v>70707</v>
      </c>
      <c r="M8" t="str">
        <f>"98999334"</f>
        <v>98999334</v>
      </c>
      <c r="O8">
        <v>1</v>
      </c>
    </row>
    <row r="9" spans="1:18" hidden="1" x14ac:dyDescent="0.25">
      <c r="A9">
        <v>8003879954</v>
      </c>
      <c r="B9">
        <v>2</v>
      </c>
      <c r="C9">
        <v>31052017</v>
      </c>
      <c r="D9">
        <v>489</v>
      </c>
      <c r="E9" t="str">
        <f>"TR FUNDS CHARGES"</f>
        <v>TR FUNDS CHARGES</v>
      </c>
      <c r="F9">
        <v>2001</v>
      </c>
      <c r="G9" t="str">
        <f>"98999334"</f>
        <v>98999334</v>
      </c>
      <c r="H9" s="1">
        <v>34.5</v>
      </c>
      <c r="I9" t="s">
        <v>28</v>
      </c>
      <c r="J9" s="1">
        <v>546513.91</v>
      </c>
      <c r="K9" t="s">
        <v>26</v>
      </c>
      <c r="L9">
        <v>70707</v>
      </c>
      <c r="M9" t="str">
        <f>"98999334"</f>
        <v>98999334</v>
      </c>
      <c r="O9">
        <v>1</v>
      </c>
    </row>
    <row r="10" spans="1:18" hidden="1" x14ac:dyDescent="0.25">
      <c r="A10">
        <v>8003879954</v>
      </c>
      <c r="B10">
        <v>1</v>
      </c>
      <c r="C10">
        <v>31052017</v>
      </c>
      <c r="D10">
        <v>341</v>
      </c>
      <c r="E10" t="str">
        <f>"AUTOPAY DR"</f>
        <v>AUTOPAY DR</v>
      </c>
      <c r="F10">
        <v>2001</v>
      </c>
      <c r="G10" t="str">
        <f>"98009334"</f>
        <v>98009334</v>
      </c>
      <c r="H10" s="1">
        <v>80828.61</v>
      </c>
      <c r="I10" t="s">
        <v>28</v>
      </c>
      <c r="J10" s="1">
        <v>546548.41</v>
      </c>
      <c r="K10" t="s">
        <v>26</v>
      </c>
      <c r="L10">
        <v>70701</v>
      </c>
      <c r="M10" t="str">
        <f>"98009334"</f>
        <v>98009334</v>
      </c>
      <c r="O10">
        <v>1</v>
      </c>
      <c r="Q10" t="str">
        <f>"Bulk Payment"</f>
        <v>Bulk Payment</v>
      </c>
    </row>
    <row r="11" spans="1:18" x14ac:dyDescent="0.25">
      <c r="A11">
        <v>8003879954</v>
      </c>
      <c r="B11">
        <v>5</v>
      </c>
      <c r="C11">
        <v>29052017</v>
      </c>
      <c r="D11">
        <v>299</v>
      </c>
      <c r="E11" t="str">
        <f>"GST"</f>
        <v>GST</v>
      </c>
      <c r="H11" s="1">
        <v>0.03</v>
      </c>
      <c r="I11" t="s">
        <v>28</v>
      </c>
      <c r="J11" s="1">
        <v>627377.02</v>
      </c>
      <c r="K11" t="s">
        <v>26</v>
      </c>
      <c r="L11">
        <v>10600</v>
      </c>
      <c r="M11" t="str">
        <f>""</f>
        <v/>
      </c>
      <c r="O11">
        <v>1</v>
      </c>
    </row>
    <row r="12" spans="1:18" hidden="1" x14ac:dyDescent="0.25">
      <c r="A12">
        <v>8003879954</v>
      </c>
      <c r="B12">
        <v>4</v>
      </c>
      <c r="C12">
        <v>29052017</v>
      </c>
      <c r="D12">
        <v>819</v>
      </c>
      <c r="E12" t="str">
        <f>"CHQ PROCESSING FEE"</f>
        <v>CHQ PROCESSING FEE</v>
      </c>
      <c r="H12" s="1">
        <v>0.5</v>
      </c>
      <c r="I12" t="s">
        <v>28</v>
      </c>
      <c r="J12" s="1">
        <v>627377.05000000005</v>
      </c>
      <c r="K12" t="s">
        <v>26</v>
      </c>
      <c r="L12">
        <v>10600</v>
      </c>
      <c r="M12" t="str">
        <f>""</f>
        <v/>
      </c>
      <c r="O12">
        <v>1</v>
      </c>
    </row>
    <row r="13" spans="1:18" hidden="1" x14ac:dyDescent="0.25">
      <c r="A13">
        <v>8003879954</v>
      </c>
      <c r="B13">
        <v>3</v>
      </c>
      <c r="C13">
        <v>29052017</v>
      </c>
      <c r="D13">
        <v>323</v>
      </c>
      <c r="E13" t="str">
        <f>"CLRG CHQ DR"</f>
        <v>CLRG CHQ DR</v>
      </c>
      <c r="F13">
        <v>0</v>
      </c>
      <c r="G13" t="str">
        <f>"00687943"</f>
        <v>00687943</v>
      </c>
      <c r="H13" s="1">
        <v>418000</v>
      </c>
      <c r="I13" t="s">
        <v>28</v>
      </c>
      <c r="J13" s="1">
        <v>627377.55000000005</v>
      </c>
      <c r="K13" t="s">
        <v>26</v>
      </c>
      <c r="L13">
        <v>10459</v>
      </c>
      <c r="M13" t="str">
        <f>""</f>
        <v/>
      </c>
      <c r="O13">
        <v>1</v>
      </c>
    </row>
    <row r="14" spans="1:18" hidden="1" x14ac:dyDescent="0.25">
      <c r="A14">
        <v>8003879954</v>
      </c>
      <c r="B14">
        <v>2</v>
      </c>
      <c r="C14">
        <v>29052017</v>
      </c>
      <c r="D14">
        <v>345</v>
      </c>
      <c r="E14" t="str">
        <f>"TR TO SAVINGS"</f>
        <v>TR TO SAVINGS</v>
      </c>
      <c r="F14">
        <v>9938</v>
      </c>
      <c r="G14" t="str">
        <f>"17091472"</f>
        <v>17091472</v>
      </c>
      <c r="H14" s="1">
        <v>1500</v>
      </c>
      <c r="I14" t="s">
        <v>28</v>
      </c>
      <c r="J14" s="1">
        <v>1045377.55</v>
      </c>
      <c r="K14" t="s">
        <v>26</v>
      </c>
      <c r="L14">
        <v>231033</v>
      </c>
      <c r="M14" t="str">
        <f>"DIDADEE FAM JOANNE KHOO ROU YAN"</f>
        <v>DIDADEE FAM JOANNE KHOO ROU YAN</v>
      </c>
      <c r="O14">
        <v>1</v>
      </c>
      <c r="P14" t="str">
        <f>"PGTEFT2318"</f>
        <v>PGTEFT2318</v>
      </c>
      <c r="Q14" t="str">
        <f>"ADVANCES"</f>
        <v>ADVANCES</v>
      </c>
    </row>
    <row r="15" spans="1:18" hidden="1" x14ac:dyDescent="0.25">
      <c r="A15">
        <v>8003879954</v>
      </c>
      <c r="B15">
        <v>1</v>
      </c>
      <c r="C15">
        <v>29052017</v>
      </c>
      <c r="D15">
        <v>174</v>
      </c>
      <c r="E15" t="str">
        <f>"IBG CREDIT"</f>
        <v>IBG CREDIT</v>
      </c>
      <c r="F15">
        <v>2001</v>
      </c>
      <c r="G15" t="str">
        <f>"99290200"</f>
        <v>99290200</v>
      </c>
      <c r="H15" s="1">
        <v>3000</v>
      </c>
      <c r="I15" t="s">
        <v>26</v>
      </c>
      <c r="J15" s="1">
        <v>1046877.55</v>
      </c>
      <c r="K15" t="s">
        <v>26</v>
      </c>
      <c r="L15">
        <v>102439</v>
      </c>
      <c r="M15" t="str">
        <f>"FL170511743179"</f>
        <v>FL170511743179</v>
      </c>
      <c r="O15">
        <v>1</v>
      </c>
      <c r="P15" t="str">
        <f>"FL170511743179"</f>
        <v>FL170511743179</v>
      </c>
      <c r="Q15" t="str">
        <f>"OPV 1705036"</f>
        <v>OPV 1705036</v>
      </c>
      <c r="R15" t="str">
        <f>"LOH GUAN LYE &amp; SONS"</f>
        <v>LOH GUAN LYE &amp; SONS</v>
      </c>
    </row>
    <row r="16" spans="1:18" hidden="1" x14ac:dyDescent="0.25">
      <c r="A16">
        <v>8003879954</v>
      </c>
      <c r="B16">
        <v>4</v>
      </c>
      <c r="C16">
        <v>26052017</v>
      </c>
      <c r="D16">
        <v>299</v>
      </c>
      <c r="E16" t="s">
        <v>44</v>
      </c>
      <c r="F16">
        <v>72</v>
      </c>
      <c r="G16" t="str">
        <f>"205412536"</f>
        <v>205412536</v>
      </c>
      <c r="H16" s="1">
        <v>1.8</v>
      </c>
      <c r="I16" t="s">
        <v>28</v>
      </c>
      <c r="J16" s="1">
        <v>1043877.55</v>
      </c>
      <c r="K16" t="s">
        <v>26</v>
      </c>
      <c r="L16">
        <v>191422</v>
      </c>
      <c r="M16" t="str">
        <f>"20008260517T0298"</f>
        <v>20008260517T0298</v>
      </c>
      <c r="O16">
        <v>1</v>
      </c>
    </row>
    <row r="17" spans="1:17" hidden="1" x14ac:dyDescent="0.25">
      <c r="A17">
        <v>8003879954</v>
      </c>
      <c r="B17">
        <v>3</v>
      </c>
      <c r="C17">
        <v>26052017</v>
      </c>
      <c r="D17">
        <v>415</v>
      </c>
      <c r="E17" t="str">
        <f>"TELEX/FAX"</f>
        <v>TELEX/FAX</v>
      </c>
      <c r="F17">
        <v>72</v>
      </c>
      <c r="G17" t="str">
        <f>"205412536"</f>
        <v>205412536</v>
      </c>
      <c r="H17" s="1">
        <v>30</v>
      </c>
      <c r="I17" t="s">
        <v>28</v>
      </c>
      <c r="J17" s="1">
        <v>1043879.35</v>
      </c>
      <c r="K17" t="s">
        <v>26</v>
      </c>
      <c r="L17">
        <v>191422</v>
      </c>
      <c r="M17" t="str">
        <f>"20008260517T0298"</f>
        <v>20008260517T0298</v>
      </c>
      <c r="O17">
        <v>1</v>
      </c>
    </row>
    <row r="18" spans="1:17" hidden="1" x14ac:dyDescent="0.25">
      <c r="A18">
        <v>8003879954</v>
      </c>
      <c r="B18">
        <v>2</v>
      </c>
      <c r="C18">
        <v>26052017</v>
      </c>
      <c r="D18">
        <v>349</v>
      </c>
      <c r="E18" t="str">
        <f>"TR TO REMITT"</f>
        <v>TR TO REMITT</v>
      </c>
      <c r="F18">
        <v>72</v>
      </c>
      <c r="G18" t="str">
        <f>"205412536"</f>
        <v>205412536</v>
      </c>
      <c r="H18" s="1">
        <v>15616.8</v>
      </c>
      <c r="I18" t="s">
        <v>28</v>
      </c>
      <c r="J18" s="1">
        <v>1043909.35</v>
      </c>
      <c r="K18" t="s">
        <v>26</v>
      </c>
      <c r="L18">
        <v>191422</v>
      </c>
      <c r="M18" t="str">
        <f>"20008260517T0298"</f>
        <v>20008260517T0298</v>
      </c>
      <c r="O18">
        <v>1</v>
      </c>
    </row>
    <row r="19" spans="1:17" hidden="1" x14ac:dyDescent="0.25">
      <c r="A19">
        <v>8003879954</v>
      </c>
      <c r="B19">
        <v>1</v>
      </c>
      <c r="C19">
        <v>26052017</v>
      </c>
      <c r="D19">
        <v>141</v>
      </c>
      <c r="E19" t="str">
        <f>"AUTOPAY CR"</f>
        <v>AUTOPAY CR</v>
      </c>
      <c r="F19">
        <v>2001</v>
      </c>
      <c r="G19" t="str">
        <f>"17002353"</f>
        <v>17002353</v>
      </c>
      <c r="H19" s="1">
        <v>1000000</v>
      </c>
      <c r="I19" t="s">
        <v>26</v>
      </c>
      <c r="J19" s="1">
        <v>1059526.1499999999</v>
      </c>
      <c r="K19" t="s">
        <v>26</v>
      </c>
      <c r="L19">
        <v>114349</v>
      </c>
      <c r="M19" t="str">
        <f>"PDC/PV17002353 DANA OPERASI FASA KE"</f>
        <v>PDC/PV17002353 DANA OPERASI FASA KE</v>
      </c>
      <c r="O19">
        <v>1</v>
      </c>
      <c r="P19" t="str">
        <f>"PDC/PV17002353 DANA"</f>
        <v>PDC/PV17002353 DANA</v>
      </c>
      <c r="Q19" t="str">
        <f>"Transfer from CIMB"</f>
        <v>Transfer from CIMB</v>
      </c>
    </row>
    <row r="20" spans="1:17" hidden="1" x14ac:dyDescent="0.25">
      <c r="A20">
        <v>8003879954</v>
      </c>
      <c r="B20">
        <v>1</v>
      </c>
      <c r="C20">
        <v>25052017</v>
      </c>
      <c r="D20">
        <v>345</v>
      </c>
      <c r="E20" t="str">
        <f>"TR TO SAVINGS"</f>
        <v>TR TO SAVINGS</v>
      </c>
      <c r="F20">
        <v>9938</v>
      </c>
      <c r="G20" t="str">
        <f>"16959611"</f>
        <v>16959611</v>
      </c>
      <c r="H20" s="1">
        <v>700</v>
      </c>
      <c r="I20" t="s">
        <v>28</v>
      </c>
      <c r="J20" s="1">
        <v>59526.15</v>
      </c>
      <c r="K20" t="s">
        <v>26</v>
      </c>
      <c r="L20">
        <v>205945</v>
      </c>
      <c r="M20" t="str">
        <f>"LIM YEE HARNG"</f>
        <v>LIM YEE HARNG</v>
      </c>
      <c r="O20">
        <v>1</v>
      </c>
      <c r="P20" t="str">
        <f>"PGTEFT2317"</f>
        <v>PGTEFT2317</v>
      </c>
      <c r="Q20" t="str">
        <f>"ADVANCE"</f>
        <v>ADVANCE</v>
      </c>
    </row>
    <row r="21" spans="1:17" hidden="1" x14ac:dyDescent="0.25">
      <c r="A21">
        <v>8003879954</v>
      </c>
      <c r="B21">
        <v>3</v>
      </c>
      <c r="C21">
        <v>24052017</v>
      </c>
      <c r="D21">
        <v>299</v>
      </c>
      <c r="E21" t="s">
        <v>44</v>
      </c>
      <c r="F21">
        <v>141</v>
      </c>
      <c r="G21" t="s">
        <v>147</v>
      </c>
      <c r="H21" s="1">
        <v>1.2</v>
      </c>
      <c r="I21" t="s">
        <v>28</v>
      </c>
      <c r="J21" s="1">
        <v>60226.15</v>
      </c>
      <c r="K21" t="s">
        <v>26</v>
      </c>
      <c r="L21" s="1">
        <v>165557</v>
      </c>
      <c r="M21" t="s">
        <v>148</v>
      </c>
      <c r="O21">
        <v>1</v>
      </c>
    </row>
    <row r="22" spans="1:17" hidden="1" x14ac:dyDescent="0.25">
      <c r="A22">
        <v>8003879954</v>
      </c>
      <c r="B22">
        <v>2</v>
      </c>
      <c r="C22">
        <v>24052017</v>
      </c>
      <c r="D22">
        <v>415</v>
      </c>
      <c r="E22" t="s">
        <v>146</v>
      </c>
      <c r="F22">
        <v>141</v>
      </c>
      <c r="G22" t="s">
        <v>147</v>
      </c>
      <c r="H22" s="1">
        <v>20</v>
      </c>
      <c r="I22" t="s">
        <v>28</v>
      </c>
      <c r="J22" s="1">
        <v>60227.35</v>
      </c>
      <c r="K22" t="s">
        <v>26</v>
      </c>
      <c r="L22" s="1">
        <v>165557</v>
      </c>
      <c r="M22" t="s">
        <v>148</v>
      </c>
      <c r="O22">
        <v>1</v>
      </c>
    </row>
    <row r="23" spans="1:17" hidden="1" x14ac:dyDescent="0.25">
      <c r="A23">
        <v>8003879954</v>
      </c>
      <c r="B23">
        <v>1</v>
      </c>
      <c r="C23">
        <v>24052017</v>
      </c>
      <c r="D23">
        <v>349</v>
      </c>
      <c r="E23" t="s">
        <v>35</v>
      </c>
      <c r="F23">
        <v>141</v>
      </c>
      <c r="G23" t="s">
        <v>147</v>
      </c>
      <c r="H23" s="1">
        <v>588.87</v>
      </c>
      <c r="I23" t="s">
        <v>28</v>
      </c>
      <c r="J23" s="1">
        <v>60247.35</v>
      </c>
      <c r="K23" t="s">
        <v>26</v>
      </c>
      <c r="L23" s="1">
        <v>165557</v>
      </c>
      <c r="M23" t="s">
        <v>148</v>
      </c>
      <c r="O23">
        <v>1</v>
      </c>
    </row>
    <row r="24" spans="1:17" hidden="1" x14ac:dyDescent="0.25">
      <c r="A24">
        <v>8003879954</v>
      </c>
      <c r="B24">
        <v>18</v>
      </c>
      <c r="C24">
        <v>23052017</v>
      </c>
      <c r="D24">
        <v>343</v>
      </c>
      <c r="E24" t="s">
        <v>49</v>
      </c>
      <c r="F24">
        <v>9938</v>
      </c>
      <c r="G24" t="s">
        <v>149</v>
      </c>
      <c r="H24" s="1">
        <v>14.9</v>
      </c>
      <c r="I24" t="s">
        <v>28</v>
      </c>
      <c r="J24" s="1">
        <v>60836.22</v>
      </c>
      <c r="K24" t="s">
        <v>26</v>
      </c>
      <c r="L24" s="1">
        <v>173635</v>
      </c>
      <c r="M24" t="s">
        <v>150</v>
      </c>
      <c r="O24">
        <v>1</v>
      </c>
    </row>
    <row r="25" spans="1:17" hidden="1" x14ac:dyDescent="0.25">
      <c r="A25">
        <v>8003879954</v>
      </c>
      <c r="B25">
        <v>17</v>
      </c>
      <c r="C25">
        <v>23052017</v>
      </c>
      <c r="D25">
        <v>343</v>
      </c>
      <c r="E25" t="s">
        <v>49</v>
      </c>
      <c r="F25">
        <v>9938</v>
      </c>
      <c r="G25" t="s">
        <v>151</v>
      </c>
      <c r="H25" s="1">
        <v>1462.4</v>
      </c>
      <c r="I25" t="s">
        <v>28</v>
      </c>
      <c r="J25" s="1">
        <v>60851.12</v>
      </c>
      <c r="K25" t="s">
        <v>26</v>
      </c>
      <c r="L25" s="1">
        <v>173549</v>
      </c>
      <c r="M25" t="s">
        <v>152</v>
      </c>
      <c r="O25">
        <v>1</v>
      </c>
    </row>
    <row r="26" spans="1:17" hidden="1" x14ac:dyDescent="0.25">
      <c r="A26">
        <v>8003879954</v>
      </c>
      <c r="B26">
        <v>16</v>
      </c>
      <c r="C26">
        <v>23052017</v>
      </c>
      <c r="D26">
        <v>345</v>
      </c>
      <c r="E26" t="s">
        <v>27</v>
      </c>
      <c r="F26">
        <v>9938</v>
      </c>
      <c r="G26" t="s">
        <v>153</v>
      </c>
      <c r="H26" s="1">
        <v>8386.24</v>
      </c>
      <c r="I26" t="s">
        <v>28</v>
      </c>
      <c r="J26" s="1">
        <v>62313.52</v>
      </c>
      <c r="K26" t="s">
        <v>26</v>
      </c>
      <c r="L26" s="1">
        <v>173552</v>
      </c>
      <c r="M26" t="s">
        <v>154</v>
      </c>
      <c r="O26">
        <v>1</v>
      </c>
      <c r="P26" t="s">
        <v>155</v>
      </c>
      <c r="Q26" t="s">
        <v>74</v>
      </c>
    </row>
    <row r="27" spans="1:17" hidden="1" x14ac:dyDescent="0.25">
      <c r="A27">
        <v>8003879954</v>
      </c>
      <c r="B27">
        <v>15</v>
      </c>
      <c r="C27">
        <v>23052017</v>
      </c>
      <c r="D27">
        <v>60</v>
      </c>
      <c r="E27" t="s">
        <v>43</v>
      </c>
      <c r="F27">
        <v>9938</v>
      </c>
      <c r="G27" t="s">
        <v>156</v>
      </c>
      <c r="H27" s="1">
        <v>1505</v>
      </c>
      <c r="I27" t="s">
        <v>28</v>
      </c>
      <c r="J27" s="1">
        <v>70699.759999999995</v>
      </c>
      <c r="K27" t="s">
        <v>26</v>
      </c>
      <c r="L27" s="1">
        <v>173551</v>
      </c>
      <c r="M27" t="s">
        <v>157</v>
      </c>
      <c r="O27">
        <v>1</v>
      </c>
      <c r="P27" t="s">
        <v>158</v>
      </c>
      <c r="Q27" t="s">
        <v>159</v>
      </c>
    </row>
    <row r="28" spans="1:17" hidden="1" x14ac:dyDescent="0.25">
      <c r="A28">
        <v>8003879954</v>
      </c>
      <c r="B28">
        <v>14</v>
      </c>
      <c r="C28">
        <v>23052017</v>
      </c>
      <c r="D28">
        <v>341</v>
      </c>
      <c r="E28" t="s">
        <v>29</v>
      </c>
      <c r="F28">
        <v>9938</v>
      </c>
      <c r="G28" t="s">
        <v>160</v>
      </c>
      <c r="H28" s="1">
        <v>4650</v>
      </c>
      <c r="I28" t="s">
        <v>28</v>
      </c>
      <c r="J28" s="1">
        <v>72204.759999999995</v>
      </c>
      <c r="K28" t="s">
        <v>26</v>
      </c>
      <c r="L28" s="1">
        <v>173546</v>
      </c>
      <c r="M28" t="s">
        <v>161</v>
      </c>
      <c r="O28">
        <v>1</v>
      </c>
      <c r="P28" t="s">
        <v>158</v>
      </c>
      <c r="Q28" t="s">
        <v>162</v>
      </c>
    </row>
    <row r="29" spans="1:17" x14ac:dyDescent="0.25">
      <c r="A29">
        <v>8003879954</v>
      </c>
      <c r="B29">
        <v>13</v>
      </c>
      <c r="C29">
        <v>23052017</v>
      </c>
      <c r="D29">
        <v>299</v>
      </c>
      <c r="E29" t="s">
        <v>30</v>
      </c>
      <c r="F29">
        <v>9938</v>
      </c>
      <c r="G29" t="s">
        <v>160</v>
      </c>
      <c r="H29" s="1">
        <v>0.01</v>
      </c>
      <c r="I29" t="s">
        <v>28</v>
      </c>
      <c r="J29" s="1">
        <v>76854.759999999995</v>
      </c>
      <c r="K29" t="s">
        <v>26</v>
      </c>
      <c r="L29" s="1">
        <v>173546</v>
      </c>
      <c r="M29" t="s">
        <v>163</v>
      </c>
      <c r="O29">
        <v>1</v>
      </c>
    </row>
    <row r="30" spans="1:17" hidden="1" x14ac:dyDescent="0.25">
      <c r="A30">
        <v>8003879954</v>
      </c>
      <c r="B30">
        <v>12</v>
      </c>
      <c r="C30">
        <v>23052017</v>
      </c>
      <c r="D30">
        <v>489</v>
      </c>
      <c r="E30" t="s">
        <v>31</v>
      </c>
      <c r="F30">
        <v>9938</v>
      </c>
      <c r="G30" t="s">
        <v>160</v>
      </c>
      <c r="H30" s="1">
        <v>0.1</v>
      </c>
      <c r="I30" t="s">
        <v>28</v>
      </c>
      <c r="J30" s="1">
        <v>76854.77</v>
      </c>
      <c r="K30" t="s">
        <v>26</v>
      </c>
      <c r="L30" s="1">
        <v>173546</v>
      </c>
      <c r="M30" t="s">
        <v>163</v>
      </c>
      <c r="O30">
        <v>1</v>
      </c>
    </row>
    <row r="31" spans="1:17" hidden="1" x14ac:dyDescent="0.25">
      <c r="A31">
        <v>8003879954</v>
      </c>
      <c r="B31">
        <v>11</v>
      </c>
      <c r="C31">
        <v>23052017</v>
      </c>
      <c r="D31">
        <v>341</v>
      </c>
      <c r="E31" t="s">
        <v>29</v>
      </c>
      <c r="F31">
        <v>9938</v>
      </c>
      <c r="G31" t="s">
        <v>164</v>
      </c>
      <c r="H31" s="1">
        <v>270</v>
      </c>
      <c r="I31" t="s">
        <v>28</v>
      </c>
      <c r="J31" s="1">
        <v>76854.87</v>
      </c>
      <c r="K31" t="s">
        <v>26</v>
      </c>
      <c r="L31" s="1">
        <v>173548</v>
      </c>
      <c r="M31" t="s">
        <v>165</v>
      </c>
      <c r="O31">
        <v>1</v>
      </c>
      <c r="P31" t="s">
        <v>166</v>
      </c>
      <c r="Q31" t="s">
        <v>167</v>
      </c>
    </row>
    <row r="32" spans="1:17" x14ac:dyDescent="0.25">
      <c r="A32">
        <v>8003879954</v>
      </c>
      <c r="B32">
        <v>10</v>
      </c>
      <c r="C32">
        <v>23052017</v>
      </c>
      <c r="D32">
        <v>299</v>
      </c>
      <c r="E32" t="s">
        <v>30</v>
      </c>
      <c r="F32">
        <v>9938</v>
      </c>
      <c r="G32" t="s">
        <v>164</v>
      </c>
      <c r="H32" s="1">
        <v>0.01</v>
      </c>
      <c r="I32" t="s">
        <v>28</v>
      </c>
      <c r="J32" s="1">
        <v>77124.87</v>
      </c>
      <c r="K32" t="s">
        <v>26</v>
      </c>
      <c r="L32" s="1">
        <v>173548</v>
      </c>
      <c r="M32" t="s">
        <v>168</v>
      </c>
      <c r="O32">
        <v>1</v>
      </c>
    </row>
    <row r="33" spans="1:18" hidden="1" x14ac:dyDescent="0.25">
      <c r="A33">
        <v>8003879954</v>
      </c>
      <c r="B33">
        <v>9</v>
      </c>
      <c r="C33">
        <v>23052017</v>
      </c>
      <c r="D33">
        <v>489</v>
      </c>
      <c r="E33" t="s">
        <v>31</v>
      </c>
      <c r="F33">
        <v>9938</v>
      </c>
      <c r="G33" t="s">
        <v>164</v>
      </c>
      <c r="H33" s="1">
        <v>0.1</v>
      </c>
      <c r="I33" t="s">
        <v>28</v>
      </c>
      <c r="J33" s="1">
        <v>77124.88</v>
      </c>
      <c r="K33" t="s">
        <v>26</v>
      </c>
      <c r="L33" s="1">
        <v>173548</v>
      </c>
      <c r="M33" t="s">
        <v>168</v>
      </c>
      <c r="O33">
        <v>1</v>
      </c>
    </row>
    <row r="34" spans="1:18" hidden="1" x14ac:dyDescent="0.25">
      <c r="A34">
        <v>8003879954</v>
      </c>
      <c r="B34">
        <v>8</v>
      </c>
      <c r="C34">
        <v>23052017</v>
      </c>
      <c r="D34">
        <v>341</v>
      </c>
      <c r="E34" t="s">
        <v>29</v>
      </c>
      <c r="F34">
        <v>9938</v>
      </c>
      <c r="G34" t="s">
        <v>169</v>
      </c>
      <c r="H34" s="1">
        <v>90</v>
      </c>
      <c r="I34" t="s">
        <v>28</v>
      </c>
      <c r="J34" s="1">
        <v>77124.98</v>
      </c>
      <c r="K34" t="s">
        <v>26</v>
      </c>
      <c r="L34" s="1">
        <v>173546</v>
      </c>
      <c r="M34" t="s">
        <v>170</v>
      </c>
      <c r="O34">
        <v>1</v>
      </c>
      <c r="P34" t="s">
        <v>171</v>
      </c>
      <c r="Q34" t="s">
        <v>172</v>
      </c>
    </row>
    <row r="35" spans="1:18" x14ac:dyDescent="0.25">
      <c r="A35">
        <v>8003879954</v>
      </c>
      <c r="B35">
        <v>7</v>
      </c>
      <c r="C35">
        <v>23052017</v>
      </c>
      <c r="D35">
        <v>299</v>
      </c>
      <c r="E35" t="s">
        <v>30</v>
      </c>
      <c r="F35">
        <v>9938</v>
      </c>
      <c r="G35" t="s">
        <v>169</v>
      </c>
      <c r="H35" s="1">
        <v>0.01</v>
      </c>
      <c r="I35" t="s">
        <v>28</v>
      </c>
      <c r="J35" s="1">
        <v>77214.98</v>
      </c>
      <c r="K35" t="s">
        <v>26</v>
      </c>
      <c r="L35" s="1">
        <v>173546</v>
      </c>
      <c r="M35" t="s">
        <v>173</v>
      </c>
      <c r="O35">
        <v>1</v>
      </c>
    </row>
    <row r="36" spans="1:18" hidden="1" x14ac:dyDescent="0.25">
      <c r="A36">
        <v>8003879954</v>
      </c>
      <c r="B36">
        <v>6</v>
      </c>
      <c r="C36">
        <v>23052017</v>
      </c>
      <c r="D36">
        <v>489</v>
      </c>
      <c r="E36" t="s">
        <v>31</v>
      </c>
      <c r="F36">
        <v>9938</v>
      </c>
      <c r="G36" t="s">
        <v>169</v>
      </c>
      <c r="H36" s="1">
        <v>0.1</v>
      </c>
      <c r="I36" t="s">
        <v>28</v>
      </c>
      <c r="J36" s="1">
        <v>77214.990000000005</v>
      </c>
      <c r="K36" t="s">
        <v>26</v>
      </c>
      <c r="L36" s="1">
        <v>173546</v>
      </c>
      <c r="M36" t="s">
        <v>173</v>
      </c>
      <c r="O36">
        <v>1</v>
      </c>
    </row>
    <row r="37" spans="1:18" hidden="1" x14ac:dyDescent="0.25">
      <c r="A37">
        <v>8003879954</v>
      </c>
      <c r="B37">
        <v>5</v>
      </c>
      <c r="C37">
        <v>23052017</v>
      </c>
      <c r="D37">
        <v>345</v>
      </c>
      <c r="E37" t="s">
        <v>27</v>
      </c>
      <c r="F37">
        <v>9938</v>
      </c>
      <c r="G37" t="s">
        <v>174</v>
      </c>
      <c r="H37" s="1">
        <v>2059.37</v>
      </c>
      <c r="I37" t="s">
        <v>28</v>
      </c>
      <c r="J37" s="1">
        <v>77215.09</v>
      </c>
      <c r="K37" t="s">
        <v>26</v>
      </c>
      <c r="L37" s="1">
        <v>173547</v>
      </c>
      <c r="M37" t="s">
        <v>175</v>
      </c>
      <c r="O37">
        <v>1</v>
      </c>
      <c r="P37" t="s">
        <v>176</v>
      </c>
      <c r="Q37" t="s">
        <v>74</v>
      </c>
    </row>
    <row r="38" spans="1:18" hidden="1" x14ac:dyDescent="0.25">
      <c r="A38">
        <v>8003879954</v>
      </c>
      <c r="B38">
        <v>4</v>
      </c>
      <c r="C38">
        <v>23052017</v>
      </c>
      <c r="D38">
        <v>341</v>
      </c>
      <c r="E38" t="s">
        <v>29</v>
      </c>
      <c r="F38">
        <v>9938</v>
      </c>
      <c r="G38" t="s">
        <v>177</v>
      </c>
      <c r="H38" s="1">
        <v>100</v>
      </c>
      <c r="I38" t="s">
        <v>28</v>
      </c>
      <c r="J38" s="1">
        <v>79274.460000000006</v>
      </c>
      <c r="K38" t="s">
        <v>26</v>
      </c>
      <c r="L38" s="1">
        <v>173546</v>
      </c>
      <c r="M38" t="s">
        <v>178</v>
      </c>
      <c r="O38">
        <v>1</v>
      </c>
      <c r="P38" t="s">
        <v>158</v>
      </c>
      <c r="Q38" t="s">
        <v>179</v>
      </c>
    </row>
    <row r="39" spans="1:18" x14ac:dyDescent="0.25">
      <c r="A39">
        <v>8003879954</v>
      </c>
      <c r="B39">
        <v>3</v>
      </c>
      <c r="C39">
        <v>23052017</v>
      </c>
      <c r="D39">
        <v>299</v>
      </c>
      <c r="E39" t="s">
        <v>30</v>
      </c>
      <c r="F39">
        <v>9938</v>
      </c>
      <c r="G39" t="s">
        <v>177</v>
      </c>
      <c r="H39" s="1">
        <v>0.01</v>
      </c>
      <c r="I39" t="s">
        <v>28</v>
      </c>
      <c r="J39" s="1">
        <v>79374.460000000006</v>
      </c>
      <c r="K39" t="s">
        <v>26</v>
      </c>
      <c r="L39" s="1">
        <v>173546</v>
      </c>
      <c r="M39" t="s">
        <v>180</v>
      </c>
      <c r="O39">
        <v>1</v>
      </c>
    </row>
    <row r="40" spans="1:18" hidden="1" x14ac:dyDescent="0.25">
      <c r="A40">
        <v>8003879954</v>
      </c>
      <c r="B40">
        <v>2</v>
      </c>
      <c r="C40">
        <v>23052017</v>
      </c>
      <c r="D40">
        <v>489</v>
      </c>
      <c r="E40" t="s">
        <v>31</v>
      </c>
      <c r="F40">
        <v>9938</v>
      </c>
      <c r="G40" t="s">
        <v>177</v>
      </c>
      <c r="H40" s="1">
        <v>0.1</v>
      </c>
      <c r="I40" t="s">
        <v>28</v>
      </c>
      <c r="J40" s="1">
        <v>79374.47</v>
      </c>
      <c r="K40" t="s">
        <v>26</v>
      </c>
      <c r="L40" s="1">
        <v>173546</v>
      </c>
      <c r="M40" t="s">
        <v>180</v>
      </c>
      <c r="O40">
        <v>1</v>
      </c>
    </row>
    <row r="41" spans="1:18" hidden="1" x14ac:dyDescent="0.25">
      <c r="A41">
        <v>8003879954</v>
      </c>
      <c r="B41">
        <v>1</v>
      </c>
      <c r="C41">
        <v>23052017</v>
      </c>
      <c r="D41">
        <v>60</v>
      </c>
      <c r="E41" t="s">
        <v>43</v>
      </c>
      <c r="F41">
        <v>9938</v>
      </c>
      <c r="G41" t="s">
        <v>181</v>
      </c>
      <c r="H41" s="1">
        <v>3050</v>
      </c>
      <c r="I41" t="s">
        <v>28</v>
      </c>
      <c r="J41" s="1">
        <v>79374.570000000007</v>
      </c>
      <c r="K41" t="s">
        <v>26</v>
      </c>
      <c r="L41" s="1">
        <v>173545</v>
      </c>
      <c r="M41" t="s">
        <v>182</v>
      </c>
      <c r="O41">
        <v>1</v>
      </c>
      <c r="P41" t="s">
        <v>183</v>
      </c>
      <c r="Q41" t="s">
        <v>184</v>
      </c>
    </row>
    <row r="42" spans="1:18" hidden="1" x14ac:dyDescent="0.25">
      <c r="A42">
        <v>8003879954</v>
      </c>
      <c r="B42">
        <v>1</v>
      </c>
      <c r="C42">
        <v>22052017</v>
      </c>
      <c r="D42">
        <v>174</v>
      </c>
      <c r="E42" t="s">
        <v>39</v>
      </c>
      <c r="F42">
        <v>2001</v>
      </c>
      <c r="G42" t="s">
        <v>185</v>
      </c>
      <c r="H42" s="1">
        <v>4000</v>
      </c>
      <c r="I42" t="s">
        <v>26</v>
      </c>
      <c r="J42" s="1">
        <v>82424.570000000007</v>
      </c>
      <c r="K42" t="s">
        <v>26</v>
      </c>
      <c r="L42" s="1">
        <v>101619</v>
      </c>
      <c r="M42" t="s">
        <v>186</v>
      </c>
      <c r="O42">
        <v>1</v>
      </c>
      <c r="P42" t="s">
        <v>186</v>
      </c>
      <c r="R42" t="s">
        <v>187</v>
      </c>
    </row>
    <row r="43" spans="1:18" hidden="1" x14ac:dyDescent="0.25">
      <c r="A43">
        <v>8003879954</v>
      </c>
      <c r="B43">
        <v>2</v>
      </c>
      <c r="C43">
        <v>18052017</v>
      </c>
      <c r="D43">
        <v>121</v>
      </c>
      <c r="E43" t="s">
        <v>25</v>
      </c>
      <c r="F43">
        <v>2007</v>
      </c>
      <c r="G43">
        <v>2705735</v>
      </c>
      <c r="H43" s="1">
        <v>10428</v>
      </c>
      <c r="I43" t="s">
        <v>26</v>
      </c>
      <c r="J43" s="1">
        <v>78424.570000000007</v>
      </c>
      <c r="K43" t="s">
        <v>26</v>
      </c>
      <c r="L43">
        <v>191017</v>
      </c>
      <c r="M43" t="str">
        <f>""</f>
        <v/>
      </c>
      <c r="O43">
        <v>1</v>
      </c>
    </row>
    <row r="44" spans="1:18" hidden="1" x14ac:dyDescent="0.25">
      <c r="A44">
        <v>8003879954</v>
      </c>
      <c r="B44">
        <v>1</v>
      </c>
      <c r="C44">
        <v>18052017</v>
      </c>
      <c r="D44">
        <v>123</v>
      </c>
      <c r="E44" t="s">
        <v>38</v>
      </c>
      <c r="F44">
        <v>2007</v>
      </c>
      <c r="G44">
        <v>14935054</v>
      </c>
      <c r="H44" s="1">
        <v>10</v>
      </c>
      <c r="I44" t="s">
        <v>26</v>
      </c>
      <c r="J44" s="1">
        <v>67996.570000000007</v>
      </c>
      <c r="K44" t="s">
        <v>26</v>
      </c>
      <c r="L44">
        <v>191017</v>
      </c>
      <c r="M44" t="str">
        <f>""</f>
        <v/>
      </c>
      <c r="O44">
        <v>1</v>
      </c>
    </row>
    <row r="45" spans="1:18" x14ac:dyDescent="0.25">
      <c r="A45">
        <v>8003879954</v>
      </c>
      <c r="B45">
        <v>5</v>
      </c>
      <c r="C45">
        <v>17052017</v>
      </c>
      <c r="D45">
        <v>299</v>
      </c>
      <c r="E45" t="s">
        <v>30</v>
      </c>
      <c r="H45" s="1">
        <v>0.06</v>
      </c>
      <c r="I45" t="s">
        <v>28</v>
      </c>
      <c r="J45" s="1">
        <v>67986.570000000007</v>
      </c>
      <c r="K45" t="s">
        <v>26</v>
      </c>
      <c r="L45">
        <v>10053</v>
      </c>
      <c r="M45" t="str">
        <f>""</f>
        <v/>
      </c>
      <c r="O45">
        <v>1</v>
      </c>
    </row>
    <row r="46" spans="1:18" hidden="1" x14ac:dyDescent="0.25">
      <c r="A46">
        <v>8003879954</v>
      </c>
      <c r="B46">
        <v>4</v>
      </c>
      <c r="C46">
        <v>17052017</v>
      </c>
      <c r="D46">
        <v>819</v>
      </c>
      <c r="E46" t="s">
        <v>32</v>
      </c>
      <c r="H46" s="1">
        <v>1</v>
      </c>
      <c r="I46" t="s">
        <v>28</v>
      </c>
      <c r="J46" s="1">
        <v>67986.63</v>
      </c>
      <c r="K46" t="s">
        <v>26</v>
      </c>
      <c r="L46">
        <v>10053</v>
      </c>
      <c r="M46" t="str">
        <f>""</f>
        <v/>
      </c>
      <c r="O46">
        <v>1</v>
      </c>
    </row>
    <row r="47" spans="1:18" hidden="1" x14ac:dyDescent="0.25">
      <c r="A47">
        <v>8003879954</v>
      </c>
      <c r="B47">
        <v>3</v>
      </c>
      <c r="C47">
        <v>17052017</v>
      </c>
      <c r="D47">
        <v>323</v>
      </c>
      <c r="E47" t="s">
        <v>33</v>
      </c>
      <c r="F47">
        <v>0</v>
      </c>
      <c r="G47">
        <v>687946</v>
      </c>
      <c r="H47" s="1">
        <v>38160</v>
      </c>
      <c r="I47" t="s">
        <v>28</v>
      </c>
      <c r="J47" s="1">
        <v>67987.63</v>
      </c>
      <c r="K47" t="s">
        <v>26</v>
      </c>
      <c r="L47">
        <v>5909</v>
      </c>
      <c r="M47" t="str">
        <f>""</f>
        <v/>
      </c>
      <c r="O47">
        <v>1</v>
      </c>
    </row>
    <row r="48" spans="1:18" hidden="1" x14ac:dyDescent="0.25">
      <c r="A48">
        <v>8003879954</v>
      </c>
      <c r="B48">
        <v>2</v>
      </c>
      <c r="C48">
        <v>17052017</v>
      </c>
      <c r="D48">
        <v>323</v>
      </c>
      <c r="E48" t="s">
        <v>33</v>
      </c>
      <c r="F48">
        <v>0</v>
      </c>
      <c r="G48">
        <v>687944</v>
      </c>
      <c r="H48" s="1">
        <v>87746</v>
      </c>
      <c r="I48" t="s">
        <v>28</v>
      </c>
      <c r="J48" s="1">
        <v>106147.63</v>
      </c>
      <c r="K48" t="s">
        <v>26</v>
      </c>
      <c r="L48">
        <v>5909</v>
      </c>
      <c r="M48" t="str">
        <f>""</f>
        <v/>
      </c>
      <c r="O48">
        <v>1</v>
      </c>
    </row>
    <row r="49" spans="1:18" hidden="1" x14ac:dyDescent="0.25">
      <c r="A49">
        <v>8003879954</v>
      </c>
      <c r="B49">
        <v>1</v>
      </c>
      <c r="C49">
        <v>17052017</v>
      </c>
      <c r="D49">
        <v>141</v>
      </c>
      <c r="E49" t="s">
        <v>48</v>
      </c>
      <c r="F49">
        <v>2001</v>
      </c>
      <c r="G49" s="6" t="s">
        <v>188</v>
      </c>
      <c r="H49" s="1">
        <v>100</v>
      </c>
      <c r="I49" t="s">
        <v>26</v>
      </c>
      <c r="J49" s="1">
        <v>193893.63</v>
      </c>
      <c r="K49" t="s">
        <v>26</v>
      </c>
      <c r="L49">
        <v>163835</v>
      </c>
      <c r="M49" t="str">
        <f>"800316663203 [R04]-T"</f>
        <v>800316663203 [R04]-T</v>
      </c>
      <c r="O49">
        <v>1</v>
      </c>
      <c r="P49" t="str">
        <f>"800316663203 [R04]-T"</f>
        <v>800316663203 [R04]-T</v>
      </c>
      <c r="Q49" t="str">
        <f>"Transfer from CIMB"</f>
        <v>Transfer from CIMB</v>
      </c>
      <c r="R49" t="str">
        <f>"IBG REFUND"</f>
        <v>IBG REFUND</v>
      </c>
    </row>
    <row r="50" spans="1:18" x14ac:dyDescent="0.25">
      <c r="A50">
        <v>8003879954</v>
      </c>
      <c r="B50">
        <v>99</v>
      </c>
      <c r="C50">
        <v>16052017</v>
      </c>
      <c r="D50">
        <v>299</v>
      </c>
      <c r="E50" t="s">
        <v>30</v>
      </c>
      <c r="H50" s="1">
        <v>0.06</v>
      </c>
      <c r="I50" t="s">
        <v>28</v>
      </c>
      <c r="J50" s="1">
        <v>193793.63</v>
      </c>
      <c r="K50" t="s">
        <v>26</v>
      </c>
      <c r="L50">
        <v>5946</v>
      </c>
      <c r="M50" t="str">
        <f>""</f>
        <v/>
      </c>
      <c r="O50">
        <v>1</v>
      </c>
    </row>
    <row r="51" spans="1:18" hidden="1" x14ac:dyDescent="0.25">
      <c r="A51">
        <v>8003879954</v>
      </c>
      <c r="B51">
        <v>98</v>
      </c>
      <c r="C51">
        <v>16052017</v>
      </c>
      <c r="D51">
        <v>819</v>
      </c>
      <c r="E51" t="s">
        <v>32</v>
      </c>
      <c r="H51" s="1">
        <v>1</v>
      </c>
      <c r="I51" t="s">
        <v>28</v>
      </c>
      <c r="J51" s="1">
        <v>193793.69</v>
      </c>
      <c r="K51" t="s">
        <v>26</v>
      </c>
      <c r="L51">
        <v>5946</v>
      </c>
      <c r="M51" t="str">
        <f>""</f>
        <v/>
      </c>
      <c r="O51">
        <v>1</v>
      </c>
    </row>
    <row r="52" spans="1:18" hidden="1" x14ac:dyDescent="0.25">
      <c r="A52">
        <v>8003879954</v>
      </c>
      <c r="B52">
        <v>97</v>
      </c>
      <c r="C52">
        <v>16052017</v>
      </c>
      <c r="D52">
        <v>323</v>
      </c>
      <c r="E52" t="s">
        <v>33</v>
      </c>
      <c r="F52">
        <v>0</v>
      </c>
      <c r="G52">
        <v>687942</v>
      </c>
      <c r="H52" s="1">
        <v>436533.75</v>
      </c>
      <c r="I52" t="s">
        <v>28</v>
      </c>
      <c r="J52" s="1">
        <v>193794.69</v>
      </c>
      <c r="K52" t="s">
        <v>26</v>
      </c>
      <c r="L52">
        <v>5609</v>
      </c>
      <c r="M52" t="str">
        <f>""</f>
        <v/>
      </c>
      <c r="O52">
        <v>1</v>
      </c>
    </row>
    <row r="53" spans="1:18" hidden="1" x14ac:dyDescent="0.25">
      <c r="A53">
        <v>8003879954</v>
      </c>
      <c r="B53">
        <v>96</v>
      </c>
      <c r="C53">
        <v>16052017</v>
      </c>
      <c r="D53">
        <v>323</v>
      </c>
      <c r="E53" t="s">
        <v>33</v>
      </c>
      <c r="F53">
        <v>0</v>
      </c>
      <c r="G53">
        <v>687928</v>
      </c>
      <c r="H53" s="1">
        <v>10600</v>
      </c>
      <c r="I53" t="s">
        <v>28</v>
      </c>
      <c r="J53" s="1">
        <v>630328.43999999994</v>
      </c>
      <c r="K53" t="s">
        <v>26</v>
      </c>
      <c r="L53">
        <v>5609</v>
      </c>
      <c r="M53" t="str">
        <f>""</f>
        <v/>
      </c>
      <c r="O53">
        <v>1</v>
      </c>
    </row>
    <row r="54" spans="1:18" hidden="1" x14ac:dyDescent="0.25">
      <c r="A54">
        <v>8003879954</v>
      </c>
      <c r="B54">
        <v>95</v>
      </c>
      <c r="C54">
        <v>16052017</v>
      </c>
      <c r="D54">
        <v>343</v>
      </c>
      <c r="E54" t="s">
        <v>49</v>
      </c>
      <c r="F54">
        <v>9938</v>
      </c>
      <c r="G54" s="6" t="s">
        <v>189</v>
      </c>
      <c r="H54" s="1">
        <v>47.45</v>
      </c>
      <c r="I54" t="s">
        <v>28</v>
      </c>
      <c r="J54" s="1">
        <v>640928.43999999994</v>
      </c>
      <c r="K54" t="s">
        <v>26</v>
      </c>
      <c r="L54">
        <v>200654</v>
      </c>
      <c r="M54" t="str">
        <f>"Pay to TNB: 220543735508"</f>
        <v>Pay to TNB: 220543735508</v>
      </c>
      <c r="O54">
        <v>1</v>
      </c>
    </row>
    <row r="55" spans="1:18" hidden="1" x14ac:dyDescent="0.25">
      <c r="A55">
        <v>8003879954</v>
      </c>
      <c r="B55">
        <v>94</v>
      </c>
      <c r="C55">
        <v>16052017</v>
      </c>
      <c r="D55">
        <v>60</v>
      </c>
      <c r="E55" t="s">
        <v>43</v>
      </c>
      <c r="F55">
        <v>9938</v>
      </c>
      <c r="G55">
        <v>16657205</v>
      </c>
      <c r="H55" s="1">
        <v>1710</v>
      </c>
      <c r="I55" t="s">
        <v>28</v>
      </c>
      <c r="J55" s="1">
        <v>640975.89</v>
      </c>
      <c r="K55" t="s">
        <v>26</v>
      </c>
      <c r="L55">
        <v>200654</v>
      </c>
      <c r="M55" t="str">
        <f>"TAIWAN TAC CAMPAIGN WONDERFOOD MUSEUM S"</f>
        <v>TAIWAN TAC CAMPAIGN WONDERFOOD MUSEUM S</v>
      </c>
      <c r="O55">
        <v>1</v>
      </c>
      <c r="P55" t="str">
        <f>"PGTEFT2305"</f>
        <v>PGTEFT2305</v>
      </c>
      <c r="Q55" t="str">
        <f>"WDF0417-029"</f>
        <v>WDF0417-029</v>
      </c>
    </row>
    <row r="56" spans="1:18" hidden="1" x14ac:dyDescent="0.25">
      <c r="A56">
        <v>8003879954</v>
      </c>
      <c r="B56">
        <v>93</v>
      </c>
      <c r="C56">
        <v>16052017</v>
      </c>
      <c r="D56">
        <v>341</v>
      </c>
      <c r="E56" t="s">
        <v>29</v>
      </c>
      <c r="F56">
        <v>9938</v>
      </c>
      <c r="G56">
        <v>16657364</v>
      </c>
      <c r="H56" s="1">
        <v>117.15</v>
      </c>
      <c r="I56" t="s">
        <v>28</v>
      </c>
      <c r="J56" s="1">
        <v>642685.89</v>
      </c>
      <c r="K56" t="s">
        <v>26</v>
      </c>
      <c r="L56">
        <v>200651</v>
      </c>
      <c r="M56" t="str">
        <f>"WEB ASP SDN BHD"</f>
        <v>WEB ASP SDN BHD</v>
      </c>
      <c r="O56">
        <v>1</v>
      </c>
      <c r="P56" t="str">
        <f>"PGTEFT2304"</f>
        <v>PGTEFT2304</v>
      </c>
      <c r="Q56" t="str">
        <f>"ACC1618-3562"</f>
        <v>ACC1618-3562</v>
      </c>
    </row>
    <row r="57" spans="1:18" x14ac:dyDescent="0.25">
      <c r="A57">
        <v>8003879954</v>
      </c>
      <c r="B57">
        <v>92</v>
      </c>
      <c r="C57">
        <v>16052017</v>
      </c>
      <c r="D57">
        <v>299</v>
      </c>
      <c r="E57" t="s">
        <v>30</v>
      </c>
      <c r="F57">
        <v>9938</v>
      </c>
      <c r="G57">
        <v>16657364</v>
      </c>
      <c r="H57" s="1">
        <v>0.01</v>
      </c>
      <c r="I57" t="s">
        <v>28</v>
      </c>
      <c r="J57" s="1">
        <v>642803.04</v>
      </c>
      <c r="K57" t="s">
        <v>26</v>
      </c>
      <c r="L57">
        <v>200651</v>
      </c>
      <c r="M57" t="str">
        <f>"PGTEFT2304          ACC1618-3562"</f>
        <v>PGTEFT2304          ACC1618-3562</v>
      </c>
      <c r="O57">
        <v>1</v>
      </c>
    </row>
    <row r="58" spans="1:18" hidden="1" x14ac:dyDescent="0.25">
      <c r="A58">
        <v>8003879954</v>
      </c>
      <c r="B58">
        <v>91</v>
      </c>
      <c r="C58">
        <v>16052017</v>
      </c>
      <c r="D58">
        <v>489</v>
      </c>
      <c r="E58" t="s">
        <v>31</v>
      </c>
      <c r="F58">
        <v>9938</v>
      </c>
      <c r="G58">
        <v>16657364</v>
      </c>
      <c r="H58" s="1">
        <v>0.1</v>
      </c>
      <c r="I58" t="s">
        <v>28</v>
      </c>
      <c r="J58" s="1">
        <v>642803.05000000005</v>
      </c>
      <c r="K58" t="s">
        <v>26</v>
      </c>
      <c r="L58">
        <v>200651</v>
      </c>
      <c r="M58" t="str">
        <f>"PGTEFT2304          ACC1618-3562"</f>
        <v>PGTEFT2304          ACC1618-3562</v>
      </c>
      <c r="O58">
        <v>1</v>
      </c>
    </row>
    <row r="59" spans="1:18" hidden="1" x14ac:dyDescent="0.25">
      <c r="A59">
        <v>8003879954</v>
      </c>
      <c r="B59">
        <v>90</v>
      </c>
      <c r="C59">
        <v>16052017</v>
      </c>
      <c r="D59">
        <v>341</v>
      </c>
      <c r="E59" t="s">
        <v>29</v>
      </c>
      <c r="F59">
        <v>9938</v>
      </c>
      <c r="G59">
        <v>16656806</v>
      </c>
      <c r="H59" s="1">
        <v>207.8</v>
      </c>
      <c r="I59" t="s">
        <v>28</v>
      </c>
      <c r="J59" s="1">
        <v>642803.15</v>
      </c>
      <c r="K59" t="s">
        <v>26</v>
      </c>
      <c r="L59">
        <v>200652</v>
      </c>
      <c r="M59" t="str">
        <f>"YTL COMMUNICATIONS S"</f>
        <v>YTL COMMUNICATIONS S</v>
      </c>
      <c r="O59">
        <v>1</v>
      </c>
      <c r="P59" t="str">
        <f>"PGTEFT2309"</f>
        <v>PGTEFT2309</v>
      </c>
      <c r="Q59" t="str">
        <f>"813783509 813783531"</f>
        <v>813783509 813783531</v>
      </c>
    </row>
    <row r="60" spans="1:18" x14ac:dyDescent="0.25">
      <c r="A60">
        <v>8003879954</v>
      </c>
      <c r="B60">
        <v>89</v>
      </c>
      <c r="C60">
        <v>16052017</v>
      </c>
      <c r="D60">
        <v>299</v>
      </c>
      <c r="E60" t="s">
        <v>30</v>
      </c>
      <c r="F60">
        <v>9938</v>
      </c>
      <c r="G60">
        <v>16656806</v>
      </c>
      <c r="H60" s="1">
        <v>0.01</v>
      </c>
      <c r="I60" t="s">
        <v>28</v>
      </c>
      <c r="J60" s="1">
        <v>643010.94999999995</v>
      </c>
      <c r="K60" t="s">
        <v>26</v>
      </c>
      <c r="L60">
        <v>200652</v>
      </c>
      <c r="M60" t="str">
        <f>"PGTEFT2309          813783509 813783531"</f>
        <v>PGTEFT2309          813783509 813783531</v>
      </c>
      <c r="O60">
        <v>1</v>
      </c>
    </row>
    <row r="61" spans="1:18" hidden="1" x14ac:dyDescent="0.25">
      <c r="A61">
        <v>8003879954</v>
      </c>
      <c r="B61">
        <v>88</v>
      </c>
      <c r="C61">
        <v>16052017</v>
      </c>
      <c r="D61">
        <v>489</v>
      </c>
      <c r="E61" t="s">
        <v>31</v>
      </c>
      <c r="F61">
        <v>9938</v>
      </c>
      <c r="G61">
        <v>16656806</v>
      </c>
      <c r="H61" s="1">
        <v>0.1</v>
      </c>
      <c r="I61" t="s">
        <v>28</v>
      </c>
      <c r="J61" s="1">
        <v>643010.96</v>
      </c>
      <c r="K61" t="s">
        <v>26</v>
      </c>
      <c r="L61">
        <v>200652</v>
      </c>
      <c r="M61" t="str">
        <f>"PGTEFT2309          813783509 813783531"</f>
        <v>PGTEFT2309          813783509 813783531</v>
      </c>
      <c r="O61">
        <v>1</v>
      </c>
    </row>
    <row r="62" spans="1:18" hidden="1" x14ac:dyDescent="0.25">
      <c r="A62">
        <v>8003879954</v>
      </c>
      <c r="B62">
        <v>87</v>
      </c>
      <c r="C62">
        <v>16052017</v>
      </c>
      <c r="D62">
        <v>341</v>
      </c>
      <c r="E62" t="s">
        <v>29</v>
      </c>
      <c r="F62">
        <v>9938</v>
      </c>
      <c r="G62">
        <v>16657631</v>
      </c>
      <c r="H62" s="1">
        <v>2340</v>
      </c>
      <c r="I62" t="s">
        <v>28</v>
      </c>
      <c r="J62" s="1">
        <v>643011.06000000006</v>
      </c>
      <c r="K62" t="s">
        <v>26</v>
      </c>
      <c r="L62">
        <v>200652</v>
      </c>
      <c r="M62" t="str">
        <f>"WT LIM FOOD PRODUCTS"</f>
        <v>WT LIM FOOD PRODUCTS</v>
      </c>
      <c r="O62">
        <v>1</v>
      </c>
      <c r="P62" t="str">
        <f>"PGTEFT2303"</f>
        <v>PGTEFT2303</v>
      </c>
      <c r="Q62" t="str">
        <f>"M4078"</f>
        <v>M4078</v>
      </c>
    </row>
    <row r="63" spans="1:18" x14ac:dyDescent="0.25">
      <c r="A63">
        <v>8003879954</v>
      </c>
      <c r="B63">
        <v>86</v>
      </c>
      <c r="C63">
        <v>16052017</v>
      </c>
      <c r="D63">
        <v>299</v>
      </c>
      <c r="E63" t="s">
        <v>30</v>
      </c>
      <c r="F63">
        <v>9938</v>
      </c>
      <c r="G63">
        <v>16657631</v>
      </c>
      <c r="H63" s="1">
        <v>0.01</v>
      </c>
      <c r="I63" t="s">
        <v>28</v>
      </c>
      <c r="J63" s="1">
        <v>645351.06000000006</v>
      </c>
      <c r="K63" t="s">
        <v>26</v>
      </c>
      <c r="L63">
        <v>200652</v>
      </c>
      <c r="M63" t="str">
        <f>"PGTEFT2303          M4078"</f>
        <v>PGTEFT2303          M4078</v>
      </c>
      <c r="O63">
        <v>1</v>
      </c>
    </row>
    <row r="64" spans="1:18" hidden="1" x14ac:dyDescent="0.25">
      <c r="A64">
        <v>8003879954</v>
      </c>
      <c r="B64">
        <v>85</v>
      </c>
      <c r="C64">
        <v>16052017</v>
      </c>
      <c r="D64">
        <v>489</v>
      </c>
      <c r="E64" t="s">
        <v>31</v>
      </c>
      <c r="F64">
        <v>9938</v>
      </c>
      <c r="G64">
        <v>16657631</v>
      </c>
      <c r="H64" s="1">
        <v>0.1</v>
      </c>
      <c r="I64" t="s">
        <v>28</v>
      </c>
      <c r="J64" s="1">
        <v>645351.06999999995</v>
      </c>
      <c r="K64" t="s">
        <v>26</v>
      </c>
      <c r="L64">
        <v>200652</v>
      </c>
      <c r="M64" t="str">
        <f>"PGTEFT2303          M4078"</f>
        <v>PGTEFT2303          M4078</v>
      </c>
      <c r="O64">
        <v>1</v>
      </c>
    </row>
    <row r="65" spans="1:17" hidden="1" x14ac:dyDescent="0.25">
      <c r="A65">
        <v>8003879954</v>
      </c>
      <c r="B65">
        <v>84</v>
      </c>
      <c r="C65">
        <v>16052017</v>
      </c>
      <c r="D65">
        <v>343</v>
      </c>
      <c r="E65" t="s">
        <v>49</v>
      </c>
      <c r="F65">
        <v>9938</v>
      </c>
      <c r="G65" s="6" t="s">
        <v>190</v>
      </c>
      <c r="H65" s="1">
        <v>636.29999999999995</v>
      </c>
      <c r="I65" t="s">
        <v>28</v>
      </c>
      <c r="J65" s="1">
        <v>645351.17000000004</v>
      </c>
      <c r="K65" t="s">
        <v>26</v>
      </c>
      <c r="L65">
        <v>200652</v>
      </c>
      <c r="M65" t="str">
        <f>"Pay to TNB: 220543728710"</f>
        <v>Pay to TNB: 220543728710</v>
      </c>
      <c r="O65">
        <v>1</v>
      </c>
    </row>
    <row r="66" spans="1:17" hidden="1" x14ac:dyDescent="0.25">
      <c r="A66">
        <v>8003879954</v>
      </c>
      <c r="B66">
        <v>83</v>
      </c>
      <c r="C66">
        <v>16052017</v>
      </c>
      <c r="D66">
        <v>341</v>
      </c>
      <c r="E66" t="s">
        <v>29</v>
      </c>
      <c r="F66">
        <v>9938</v>
      </c>
      <c r="G66">
        <v>16656963</v>
      </c>
      <c r="H66" s="1">
        <v>270</v>
      </c>
      <c r="I66" t="s">
        <v>28</v>
      </c>
      <c r="J66" s="1">
        <v>645987.47</v>
      </c>
      <c r="K66" t="s">
        <v>26</v>
      </c>
      <c r="L66">
        <v>200652</v>
      </c>
      <c r="M66" t="str">
        <f>"YEAP KAM MOEY"</f>
        <v>YEAP KAM MOEY</v>
      </c>
      <c r="O66">
        <v>1</v>
      </c>
      <c r="P66" t="str">
        <f>"PGTEFT2307"</f>
        <v>PGTEFT2307</v>
      </c>
      <c r="Q66" t="str">
        <f>"25APR2017"</f>
        <v>25APR2017</v>
      </c>
    </row>
    <row r="67" spans="1:17" x14ac:dyDescent="0.25">
      <c r="A67">
        <v>8003879954</v>
      </c>
      <c r="B67">
        <v>82</v>
      </c>
      <c r="C67">
        <v>16052017</v>
      </c>
      <c r="D67">
        <v>299</v>
      </c>
      <c r="E67" t="s">
        <v>30</v>
      </c>
      <c r="F67">
        <v>9938</v>
      </c>
      <c r="G67">
        <v>16656963</v>
      </c>
      <c r="H67" s="1">
        <v>0.01</v>
      </c>
      <c r="I67" t="s">
        <v>28</v>
      </c>
      <c r="J67" s="1">
        <v>646257.47</v>
      </c>
      <c r="K67" t="s">
        <v>26</v>
      </c>
      <c r="L67">
        <v>200652</v>
      </c>
      <c r="M67" t="str">
        <f>"PGTEFT2307          25APR2017"</f>
        <v>PGTEFT2307          25APR2017</v>
      </c>
      <c r="O67">
        <v>1</v>
      </c>
    </row>
    <row r="68" spans="1:17" hidden="1" x14ac:dyDescent="0.25">
      <c r="A68">
        <v>8003879954</v>
      </c>
      <c r="B68">
        <v>81</v>
      </c>
      <c r="C68">
        <v>16052017</v>
      </c>
      <c r="D68">
        <v>489</v>
      </c>
      <c r="E68" t="s">
        <v>31</v>
      </c>
      <c r="F68">
        <v>9938</v>
      </c>
      <c r="G68">
        <v>16656963</v>
      </c>
      <c r="H68" s="1">
        <v>0.1</v>
      </c>
      <c r="I68" t="s">
        <v>28</v>
      </c>
      <c r="J68" s="1">
        <v>646257.48</v>
      </c>
      <c r="K68" t="s">
        <v>26</v>
      </c>
      <c r="L68">
        <v>200652</v>
      </c>
      <c r="M68" t="str">
        <f>"PGTEFT2307          25APR2017"</f>
        <v>PGTEFT2307          25APR2017</v>
      </c>
      <c r="O68">
        <v>1</v>
      </c>
    </row>
    <row r="69" spans="1:17" hidden="1" x14ac:dyDescent="0.25">
      <c r="A69">
        <v>8003879954</v>
      </c>
      <c r="B69">
        <v>80</v>
      </c>
      <c r="C69">
        <v>16052017</v>
      </c>
      <c r="D69">
        <v>341</v>
      </c>
      <c r="E69" t="s">
        <v>29</v>
      </c>
      <c r="F69">
        <v>9938</v>
      </c>
      <c r="G69">
        <v>16656868</v>
      </c>
      <c r="H69" s="1">
        <v>90</v>
      </c>
      <c r="I69" t="s">
        <v>28</v>
      </c>
      <c r="J69" s="1">
        <v>646257.57999999996</v>
      </c>
      <c r="K69" t="s">
        <v>26</v>
      </c>
      <c r="L69">
        <v>200651</v>
      </c>
      <c r="M69" t="str">
        <f>"YEAP PENG HOE"</f>
        <v>YEAP PENG HOE</v>
      </c>
      <c r="O69">
        <v>1</v>
      </c>
      <c r="P69" t="str">
        <f>"PGTEFT2308"</f>
        <v>PGTEFT2308</v>
      </c>
      <c r="Q69" t="str">
        <f>"INV012-2017"</f>
        <v>INV012-2017</v>
      </c>
    </row>
    <row r="70" spans="1:17" x14ac:dyDescent="0.25">
      <c r="A70">
        <v>8003879954</v>
      </c>
      <c r="B70">
        <v>79</v>
      </c>
      <c r="C70">
        <v>16052017</v>
      </c>
      <c r="D70">
        <v>299</v>
      </c>
      <c r="E70" t="s">
        <v>30</v>
      </c>
      <c r="F70">
        <v>9938</v>
      </c>
      <c r="G70">
        <v>16656868</v>
      </c>
      <c r="H70" s="1">
        <v>0.01</v>
      </c>
      <c r="I70" t="s">
        <v>28</v>
      </c>
      <c r="J70" s="1">
        <v>646347.57999999996</v>
      </c>
      <c r="K70" t="s">
        <v>26</v>
      </c>
      <c r="L70">
        <v>200651</v>
      </c>
      <c r="M70" t="str">
        <f>"PGTEFT2308          INV012-2017"</f>
        <v>PGTEFT2308          INV012-2017</v>
      </c>
      <c r="O70">
        <v>1</v>
      </c>
    </row>
    <row r="71" spans="1:17" hidden="1" x14ac:dyDescent="0.25">
      <c r="A71">
        <v>8003879954</v>
      </c>
      <c r="B71">
        <v>78</v>
      </c>
      <c r="C71">
        <v>16052017</v>
      </c>
      <c r="D71">
        <v>489</v>
      </c>
      <c r="E71" t="s">
        <v>31</v>
      </c>
      <c r="F71">
        <v>9938</v>
      </c>
      <c r="G71">
        <v>16656868</v>
      </c>
      <c r="H71" s="1">
        <v>0.1</v>
      </c>
      <c r="I71" t="s">
        <v>28</v>
      </c>
      <c r="J71" s="1">
        <v>646347.59</v>
      </c>
      <c r="K71" t="s">
        <v>26</v>
      </c>
      <c r="L71">
        <v>200651</v>
      </c>
      <c r="M71" t="str">
        <f>"PGTEFT2308          INV012-2017"</f>
        <v>PGTEFT2308          INV012-2017</v>
      </c>
      <c r="O71">
        <v>1</v>
      </c>
    </row>
    <row r="72" spans="1:17" hidden="1" x14ac:dyDescent="0.25">
      <c r="A72">
        <v>8003879954</v>
      </c>
      <c r="B72">
        <v>77</v>
      </c>
      <c r="C72">
        <v>16052017</v>
      </c>
      <c r="D72">
        <v>345</v>
      </c>
      <c r="E72" t="s">
        <v>27</v>
      </c>
      <c r="F72">
        <v>9938</v>
      </c>
      <c r="G72">
        <v>16657707</v>
      </c>
      <c r="H72" s="1">
        <v>1621.51</v>
      </c>
      <c r="I72" t="s">
        <v>28</v>
      </c>
      <c r="J72" s="1">
        <v>646347.68999999994</v>
      </c>
      <c r="K72" t="s">
        <v>26</v>
      </c>
      <c r="L72">
        <v>200651</v>
      </c>
      <c r="M72" t="str">
        <f>"SHANGHAI WORLD TRAVE THOY SIEW PING"</f>
        <v>SHANGHAI WORLD TRAVE THOY SIEW PING</v>
      </c>
      <c r="O72">
        <v>1</v>
      </c>
      <c r="P72" t="str">
        <f>"PGTEFT2302"</f>
        <v>PGTEFT2302</v>
      </c>
      <c r="Q72" t="str">
        <f>"CLAIMS"</f>
        <v>CLAIMS</v>
      </c>
    </row>
    <row r="73" spans="1:17" hidden="1" x14ac:dyDescent="0.25">
      <c r="A73">
        <v>8003879954</v>
      </c>
      <c r="B73">
        <v>76</v>
      </c>
      <c r="C73">
        <v>16052017</v>
      </c>
      <c r="D73">
        <v>345</v>
      </c>
      <c r="E73" t="s">
        <v>27</v>
      </c>
      <c r="F73">
        <v>9938</v>
      </c>
      <c r="G73">
        <v>16657131</v>
      </c>
      <c r="H73" s="1">
        <v>1509.31</v>
      </c>
      <c r="I73" t="s">
        <v>28</v>
      </c>
      <c r="J73" s="1">
        <v>647969.19999999995</v>
      </c>
      <c r="K73" t="s">
        <v>26</v>
      </c>
      <c r="L73">
        <v>200651</v>
      </c>
      <c r="M73" t="str">
        <f>"MEDAN TRIP YOON PAULINE"</f>
        <v>MEDAN TRIP YOON PAULINE</v>
      </c>
      <c r="O73">
        <v>1</v>
      </c>
      <c r="P73" t="str">
        <f>"PGTEFT2306"</f>
        <v>PGTEFT2306</v>
      </c>
      <c r="Q73" t="str">
        <f>"CLAIMS"</f>
        <v>CLAIMS</v>
      </c>
    </row>
    <row r="74" spans="1:17" hidden="1" x14ac:dyDescent="0.25">
      <c r="A74">
        <v>8003879954</v>
      </c>
      <c r="B74">
        <v>75</v>
      </c>
      <c r="C74">
        <v>16052017</v>
      </c>
      <c r="D74">
        <v>341</v>
      </c>
      <c r="E74" t="s">
        <v>29</v>
      </c>
      <c r="F74">
        <v>9938</v>
      </c>
      <c r="G74">
        <v>16658868</v>
      </c>
      <c r="H74" s="1">
        <v>100</v>
      </c>
      <c r="I74" t="s">
        <v>28</v>
      </c>
      <c r="J74" s="1">
        <v>649478.51</v>
      </c>
      <c r="K74" t="s">
        <v>26</v>
      </c>
      <c r="L74">
        <v>195947</v>
      </c>
      <c r="M74" t="str">
        <f>"RED STAR PRODUCTION"</f>
        <v>RED STAR PRODUCTION</v>
      </c>
      <c r="O74">
        <v>1</v>
      </c>
      <c r="P74" t="str">
        <f>"PGTEFT2295"</f>
        <v>PGTEFT2295</v>
      </c>
      <c r="Q74" t="str">
        <f>"APRIL2017"</f>
        <v>APRIL2017</v>
      </c>
    </row>
    <row r="75" spans="1:17" x14ac:dyDescent="0.25">
      <c r="A75">
        <v>8003879954</v>
      </c>
      <c r="B75">
        <v>74</v>
      </c>
      <c r="C75">
        <v>16052017</v>
      </c>
      <c r="D75">
        <v>299</v>
      </c>
      <c r="E75" t="s">
        <v>30</v>
      </c>
      <c r="F75">
        <v>9938</v>
      </c>
      <c r="G75">
        <v>16658868</v>
      </c>
      <c r="H75" s="1">
        <v>0.01</v>
      </c>
      <c r="I75" t="s">
        <v>28</v>
      </c>
      <c r="J75" s="1">
        <v>649578.51</v>
      </c>
      <c r="K75" t="s">
        <v>26</v>
      </c>
      <c r="L75">
        <v>195947</v>
      </c>
      <c r="M75" t="str">
        <f>"PGTEFT2295          APRIL2017"</f>
        <v>PGTEFT2295          APRIL2017</v>
      </c>
      <c r="O75">
        <v>1</v>
      </c>
    </row>
    <row r="76" spans="1:17" hidden="1" x14ac:dyDescent="0.25">
      <c r="A76">
        <v>8003879954</v>
      </c>
      <c r="B76">
        <v>73</v>
      </c>
      <c r="C76">
        <v>16052017</v>
      </c>
      <c r="D76">
        <v>489</v>
      </c>
      <c r="E76" t="s">
        <v>31</v>
      </c>
      <c r="F76">
        <v>9938</v>
      </c>
      <c r="G76">
        <v>16658868</v>
      </c>
      <c r="H76" s="1">
        <v>0.1</v>
      </c>
      <c r="I76" t="s">
        <v>28</v>
      </c>
      <c r="J76" s="1">
        <v>649578.52</v>
      </c>
      <c r="K76" t="s">
        <v>26</v>
      </c>
      <c r="L76">
        <v>195947</v>
      </c>
      <c r="M76" t="str">
        <f>"PGTEFT2295          APRIL2017"</f>
        <v>PGTEFT2295          APRIL2017</v>
      </c>
      <c r="O76">
        <v>1</v>
      </c>
    </row>
    <row r="77" spans="1:17" hidden="1" x14ac:dyDescent="0.25">
      <c r="A77">
        <v>8003879954</v>
      </c>
      <c r="B77">
        <v>72</v>
      </c>
      <c r="C77">
        <v>16052017</v>
      </c>
      <c r="D77">
        <v>341</v>
      </c>
      <c r="E77" t="s">
        <v>29</v>
      </c>
      <c r="F77">
        <v>9938</v>
      </c>
      <c r="G77">
        <v>16658985</v>
      </c>
      <c r="H77" s="1">
        <v>1270.94</v>
      </c>
      <c r="I77" t="s">
        <v>28</v>
      </c>
      <c r="J77" s="1">
        <v>649578.62</v>
      </c>
      <c r="K77" t="s">
        <v>26</v>
      </c>
      <c r="L77">
        <v>195941</v>
      </c>
      <c r="M77" t="str">
        <f>"REDTONE TELECOMMUNIC"</f>
        <v>REDTONE TELECOMMUNIC</v>
      </c>
      <c r="O77">
        <v>1</v>
      </c>
      <c r="P77" t="str">
        <f>"PGTEFT2294"</f>
        <v>PGTEFT2294</v>
      </c>
      <c r="Q77" t="str">
        <f>"INV258712"</f>
        <v>INV258712</v>
      </c>
    </row>
    <row r="78" spans="1:17" x14ac:dyDescent="0.25">
      <c r="A78">
        <v>8003879954</v>
      </c>
      <c r="B78">
        <v>71</v>
      </c>
      <c r="C78">
        <v>16052017</v>
      </c>
      <c r="D78">
        <v>299</v>
      </c>
      <c r="E78" t="s">
        <v>30</v>
      </c>
      <c r="F78">
        <v>9938</v>
      </c>
      <c r="G78">
        <v>16658985</v>
      </c>
      <c r="H78" s="1">
        <v>0.01</v>
      </c>
      <c r="I78" t="s">
        <v>28</v>
      </c>
      <c r="J78" s="1">
        <v>650849.56000000006</v>
      </c>
      <c r="K78" t="s">
        <v>26</v>
      </c>
      <c r="L78">
        <v>195941</v>
      </c>
      <c r="M78" t="str">
        <f>"PGTEFT2294          INV258712"</f>
        <v>PGTEFT2294          INV258712</v>
      </c>
      <c r="O78">
        <v>1</v>
      </c>
    </row>
    <row r="79" spans="1:17" hidden="1" x14ac:dyDescent="0.25">
      <c r="A79">
        <v>8003879954</v>
      </c>
      <c r="B79">
        <v>70</v>
      </c>
      <c r="C79">
        <v>16052017</v>
      </c>
      <c r="D79">
        <v>489</v>
      </c>
      <c r="E79" t="s">
        <v>31</v>
      </c>
      <c r="F79">
        <v>9938</v>
      </c>
      <c r="G79">
        <v>16658985</v>
      </c>
      <c r="H79" s="1">
        <v>0.1</v>
      </c>
      <c r="I79" t="s">
        <v>28</v>
      </c>
      <c r="J79" s="1">
        <v>650849.56999999995</v>
      </c>
      <c r="K79" t="s">
        <v>26</v>
      </c>
      <c r="L79">
        <v>195941</v>
      </c>
      <c r="M79" t="str">
        <f>"PGTEFT2294          INV258712"</f>
        <v>PGTEFT2294          INV258712</v>
      </c>
      <c r="O79">
        <v>1</v>
      </c>
    </row>
    <row r="80" spans="1:17" hidden="1" x14ac:dyDescent="0.25">
      <c r="A80">
        <v>8003879954</v>
      </c>
      <c r="B80">
        <v>69</v>
      </c>
      <c r="C80">
        <v>16052017</v>
      </c>
      <c r="D80">
        <v>341</v>
      </c>
      <c r="E80" t="s">
        <v>29</v>
      </c>
      <c r="F80">
        <v>9938</v>
      </c>
      <c r="G80">
        <v>16658623</v>
      </c>
      <c r="H80" s="1">
        <v>1590</v>
      </c>
      <c r="I80" t="s">
        <v>28</v>
      </c>
      <c r="J80" s="1">
        <v>650849.67000000004</v>
      </c>
      <c r="K80" t="s">
        <v>26</v>
      </c>
      <c r="L80">
        <v>195942</v>
      </c>
      <c r="M80" t="str">
        <f>"TWO PRO PRINT SERVIC"</f>
        <v>TWO PRO PRINT SERVIC</v>
      </c>
      <c r="O80">
        <v>1</v>
      </c>
      <c r="P80" t="str">
        <f>"PGTEFT2297"</f>
        <v>PGTEFT2297</v>
      </c>
      <c r="Q80" t="str">
        <f>"INV1416"</f>
        <v>INV1416</v>
      </c>
    </row>
    <row r="81" spans="1:17" x14ac:dyDescent="0.25">
      <c r="A81">
        <v>8003879954</v>
      </c>
      <c r="B81">
        <v>68</v>
      </c>
      <c r="C81">
        <v>16052017</v>
      </c>
      <c r="D81">
        <v>299</v>
      </c>
      <c r="E81" t="s">
        <v>30</v>
      </c>
      <c r="F81">
        <v>9938</v>
      </c>
      <c r="G81">
        <v>16658623</v>
      </c>
      <c r="H81" s="1">
        <v>0.01</v>
      </c>
      <c r="I81" t="s">
        <v>28</v>
      </c>
      <c r="J81" s="1">
        <v>652439.67000000004</v>
      </c>
      <c r="K81" t="s">
        <v>26</v>
      </c>
      <c r="L81">
        <v>195942</v>
      </c>
      <c r="M81" t="str">
        <f>"PGTEFT2297          INV1416"</f>
        <v>PGTEFT2297          INV1416</v>
      </c>
      <c r="O81">
        <v>1</v>
      </c>
    </row>
    <row r="82" spans="1:17" hidden="1" x14ac:dyDescent="0.25">
      <c r="A82">
        <v>8003879954</v>
      </c>
      <c r="B82">
        <v>67</v>
      </c>
      <c r="C82">
        <v>16052017</v>
      </c>
      <c r="D82">
        <v>489</v>
      </c>
      <c r="E82" t="s">
        <v>31</v>
      </c>
      <c r="F82">
        <v>9938</v>
      </c>
      <c r="G82">
        <v>16658623</v>
      </c>
      <c r="H82" s="1">
        <v>0.1</v>
      </c>
      <c r="I82" t="s">
        <v>28</v>
      </c>
      <c r="J82" s="1">
        <v>652439.68000000005</v>
      </c>
      <c r="K82" t="s">
        <v>26</v>
      </c>
      <c r="L82">
        <v>195942</v>
      </c>
      <c r="M82" t="str">
        <f>"PGTEFT2297          INV1416"</f>
        <v>PGTEFT2297          INV1416</v>
      </c>
      <c r="O82">
        <v>1</v>
      </c>
    </row>
    <row r="83" spans="1:17" hidden="1" x14ac:dyDescent="0.25">
      <c r="A83">
        <v>8003879954</v>
      </c>
      <c r="B83">
        <v>66</v>
      </c>
      <c r="C83">
        <v>16052017</v>
      </c>
      <c r="D83">
        <v>60</v>
      </c>
      <c r="E83" t="s">
        <v>43</v>
      </c>
      <c r="F83">
        <v>9938</v>
      </c>
      <c r="G83">
        <v>16659110</v>
      </c>
      <c r="H83" s="1">
        <v>3816</v>
      </c>
      <c r="I83" t="s">
        <v>28</v>
      </c>
      <c r="J83" s="1">
        <v>652439.78</v>
      </c>
      <c r="K83" t="s">
        <v>26</v>
      </c>
      <c r="L83">
        <v>195944</v>
      </c>
      <c r="M83" t="str">
        <f>"IN BETWEEN ART RISING ONE MEDIA SD"</f>
        <v>IN BETWEEN ART RISING ONE MEDIA SD</v>
      </c>
      <c r="O83">
        <v>1</v>
      </c>
      <c r="P83" t="str">
        <f>"PGTEFT2293"</f>
        <v>PGTEFT2293</v>
      </c>
      <c r="Q83" t="str">
        <f>"INN14244"</f>
        <v>INN14244</v>
      </c>
    </row>
    <row r="84" spans="1:17" hidden="1" x14ac:dyDescent="0.25">
      <c r="A84">
        <v>8003879954</v>
      </c>
      <c r="B84">
        <v>65</v>
      </c>
      <c r="C84">
        <v>16052017</v>
      </c>
      <c r="D84">
        <v>341</v>
      </c>
      <c r="E84" t="s">
        <v>29</v>
      </c>
      <c r="F84">
        <v>9938</v>
      </c>
      <c r="G84">
        <v>16659225</v>
      </c>
      <c r="H84" s="1">
        <v>254.4</v>
      </c>
      <c r="I84" t="s">
        <v>28</v>
      </c>
      <c r="J84" s="1">
        <v>656255.78</v>
      </c>
      <c r="K84" t="s">
        <v>26</v>
      </c>
      <c r="L84">
        <v>195941</v>
      </c>
      <c r="M84" t="str">
        <f>"ROD CREATIVE SDN BHD"</f>
        <v>ROD CREATIVE SDN BHD</v>
      </c>
      <c r="O84">
        <v>1</v>
      </c>
      <c r="P84" t="str">
        <f>"PGTEFT2292"</f>
        <v>PGTEFT2292</v>
      </c>
      <c r="Q84" t="str">
        <f>"INV151303 151329"</f>
        <v>INV151303 151329</v>
      </c>
    </row>
    <row r="85" spans="1:17" x14ac:dyDescent="0.25">
      <c r="A85">
        <v>8003879954</v>
      </c>
      <c r="B85">
        <v>64</v>
      </c>
      <c r="C85">
        <v>16052017</v>
      </c>
      <c r="D85">
        <v>299</v>
      </c>
      <c r="E85" t="s">
        <v>30</v>
      </c>
      <c r="F85">
        <v>9938</v>
      </c>
      <c r="G85">
        <v>16659225</v>
      </c>
      <c r="H85" s="1">
        <v>0.01</v>
      </c>
      <c r="I85" t="s">
        <v>28</v>
      </c>
      <c r="J85" s="1">
        <v>656510.18000000005</v>
      </c>
      <c r="K85" t="s">
        <v>26</v>
      </c>
      <c r="L85">
        <v>195941</v>
      </c>
      <c r="M85" t="str">
        <f>"PGTEFT2292          INV151303 151329"</f>
        <v>PGTEFT2292          INV151303 151329</v>
      </c>
      <c r="O85">
        <v>1</v>
      </c>
    </row>
    <row r="86" spans="1:17" hidden="1" x14ac:dyDescent="0.25">
      <c r="A86">
        <v>8003879954</v>
      </c>
      <c r="B86">
        <v>63</v>
      </c>
      <c r="C86">
        <v>16052017</v>
      </c>
      <c r="D86">
        <v>489</v>
      </c>
      <c r="E86" t="s">
        <v>31</v>
      </c>
      <c r="F86">
        <v>9938</v>
      </c>
      <c r="G86">
        <v>16659225</v>
      </c>
      <c r="H86" s="1">
        <v>0.1</v>
      </c>
      <c r="I86" t="s">
        <v>28</v>
      </c>
      <c r="J86" s="1">
        <v>656510.18999999994</v>
      </c>
      <c r="K86" t="s">
        <v>26</v>
      </c>
      <c r="L86">
        <v>195941</v>
      </c>
      <c r="M86" t="str">
        <f>"PGTEFT2292          INV151303 151329"</f>
        <v>PGTEFT2292          INV151303 151329</v>
      </c>
      <c r="O86">
        <v>1</v>
      </c>
    </row>
    <row r="87" spans="1:17" hidden="1" x14ac:dyDescent="0.25">
      <c r="A87">
        <v>8003879954</v>
      </c>
      <c r="B87">
        <v>62</v>
      </c>
      <c r="C87">
        <v>16052017</v>
      </c>
      <c r="D87">
        <v>341</v>
      </c>
      <c r="E87" t="s">
        <v>29</v>
      </c>
      <c r="F87">
        <v>9938</v>
      </c>
      <c r="G87">
        <v>16658058</v>
      </c>
      <c r="H87" s="1">
        <v>263.62</v>
      </c>
      <c r="I87" t="s">
        <v>28</v>
      </c>
      <c r="J87" s="1">
        <v>656510.29</v>
      </c>
      <c r="K87" t="s">
        <v>26</v>
      </c>
      <c r="L87">
        <v>195943</v>
      </c>
      <c r="M87" t="str">
        <f>"TOONG LI STATIONERY"</f>
        <v>TOONG LI STATIONERY</v>
      </c>
      <c r="O87">
        <v>1</v>
      </c>
      <c r="P87" t="str">
        <f>"PGTEFT2299"</f>
        <v>PGTEFT2299</v>
      </c>
      <c r="Q87" t="str">
        <f>"IV-128002"</f>
        <v>IV-128002</v>
      </c>
    </row>
    <row r="88" spans="1:17" x14ac:dyDescent="0.25">
      <c r="A88">
        <v>8003879954</v>
      </c>
      <c r="B88">
        <v>61</v>
      </c>
      <c r="C88">
        <v>16052017</v>
      </c>
      <c r="D88">
        <v>299</v>
      </c>
      <c r="E88" t="s">
        <v>30</v>
      </c>
      <c r="F88">
        <v>9938</v>
      </c>
      <c r="G88">
        <v>16658058</v>
      </c>
      <c r="H88" s="1">
        <v>0.01</v>
      </c>
      <c r="I88" t="s">
        <v>28</v>
      </c>
      <c r="J88" s="1">
        <v>656773.91</v>
      </c>
      <c r="K88" t="s">
        <v>26</v>
      </c>
      <c r="L88">
        <v>195943</v>
      </c>
      <c r="M88" t="str">
        <f>"PGTEFT2299          IV-128002"</f>
        <v>PGTEFT2299          IV-128002</v>
      </c>
      <c r="O88">
        <v>1</v>
      </c>
    </row>
    <row r="89" spans="1:17" hidden="1" x14ac:dyDescent="0.25">
      <c r="A89">
        <v>8003879954</v>
      </c>
      <c r="B89">
        <v>60</v>
      </c>
      <c r="C89">
        <v>16052017</v>
      </c>
      <c r="D89">
        <v>489</v>
      </c>
      <c r="E89" t="s">
        <v>31</v>
      </c>
      <c r="F89">
        <v>9938</v>
      </c>
      <c r="G89">
        <v>16658058</v>
      </c>
      <c r="H89" s="1">
        <v>0.1</v>
      </c>
      <c r="I89" t="s">
        <v>28</v>
      </c>
      <c r="J89" s="1">
        <v>656773.92000000004</v>
      </c>
      <c r="K89" t="s">
        <v>26</v>
      </c>
      <c r="L89">
        <v>195943</v>
      </c>
      <c r="M89" t="str">
        <f>"PGTEFT2299          IV-128002"</f>
        <v>PGTEFT2299          IV-128002</v>
      </c>
      <c r="O89">
        <v>1</v>
      </c>
    </row>
    <row r="90" spans="1:17" hidden="1" x14ac:dyDescent="0.25">
      <c r="A90">
        <v>8003879954</v>
      </c>
      <c r="B90">
        <v>59</v>
      </c>
      <c r="C90">
        <v>16052017</v>
      </c>
      <c r="D90">
        <v>60</v>
      </c>
      <c r="E90" t="s">
        <v>43</v>
      </c>
      <c r="F90">
        <v>9938</v>
      </c>
      <c r="G90">
        <v>16657796</v>
      </c>
      <c r="H90" s="1">
        <v>900</v>
      </c>
      <c r="I90" t="s">
        <v>28</v>
      </c>
      <c r="J90" s="1">
        <v>656774.02</v>
      </c>
      <c r="K90" t="s">
        <v>26</v>
      </c>
      <c r="L90">
        <v>195942</v>
      </c>
      <c r="M90" t="str">
        <f>"GUIDE FEE FOR APR TOH KIM HOCK"</f>
        <v>GUIDE FEE FOR APR TOH KIM HOCK</v>
      </c>
      <c r="O90">
        <v>1</v>
      </c>
      <c r="P90" t="str">
        <f>"PGTEFT2301"</f>
        <v>PGTEFT2301</v>
      </c>
      <c r="Q90" t="str">
        <f>"INV99T 100T 101T 102"</f>
        <v>INV99T 100T 101T 102</v>
      </c>
    </row>
    <row r="91" spans="1:17" hidden="1" x14ac:dyDescent="0.25">
      <c r="A91">
        <v>8003879954</v>
      </c>
      <c r="B91">
        <v>58</v>
      </c>
      <c r="C91">
        <v>16052017</v>
      </c>
      <c r="D91">
        <v>341</v>
      </c>
      <c r="E91" t="s">
        <v>29</v>
      </c>
      <c r="F91">
        <v>9938</v>
      </c>
      <c r="G91">
        <v>16657984</v>
      </c>
      <c r="H91" s="1">
        <v>5321.2</v>
      </c>
      <c r="I91" t="s">
        <v>28</v>
      </c>
      <c r="J91" s="1">
        <v>657674.02</v>
      </c>
      <c r="K91" t="s">
        <v>26</v>
      </c>
      <c r="L91">
        <v>195941</v>
      </c>
      <c r="M91" t="str">
        <f>"TNT EXPRESS WORLDWID"</f>
        <v>TNT EXPRESS WORLDWID</v>
      </c>
      <c r="O91">
        <v>1</v>
      </c>
      <c r="P91" t="str">
        <f>"PGTEFT2300"</f>
        <v>PGTEFT2300</v>
      </c>
      <c r="Q91" t="str">
        <f>"ACC233560"</f>
        <v>ACC233560</v>
      </c>
    </row>
    <row r="92" spans="1:17" x14ac:dyDescent="0.25">
      <c r="A92">
        <v>8003879954</v>
      </c>
      <c r="B92">
        <v>57</v>
      </c>
      <c r="C92">
        <v>16052017</v>
      </c>
      <c r="D92">
        <v>299</v>
      </c>
      <c r="E92" t="s">
        <v>30</v>
      </c>
      <c r="F92">
        <v>9938</v>
      </c>
      <c r="G92">
        <v>16657984</v>
      </c>
      <c r="H92" s="1">
        <v>0.01</v>
      </c>
      <c r="I92" t="s">
        <v>28</v>
      </c>
      <c r="J92" s="1">
        <v>662995.22</v>
      </c>
      <c r="K92" t="s">
        <v>26</v>
      </c>
      <c r="L92">
        <v>195941</v>
      </c>
      <c r="M92" t="str">
        <f>"PGTEFT2300          ACC233560"</f>
        <v>PGTEFT2300          ACC233560</v>
      </c>
      <c r="O92">
        <v>1</v>
      </c>
    </row>
    <row r="93" spans="1:17" hidden="1" x14ac:dyDescent="0.25">
      <c r="A93">
        <v>8003879954</v>
      </c>
      <c r="B93">
        <v>56</v>
      </c>
      <c r="C93">
        <v>16052017</v>
      </c>
      <c r="D93">
        <v>489</v>
      </c>
      <c r="E93" t="s">
        <v>31</v>
      </c>
      <c r="F93">
        <v>9938</v>
      </c>
      <c r="G93">
        <v>16657984</v>
      </c>
      <c r="H93" s="1">
        <v>0.1</v>
      </c>
      <c r="I93" t="s">
        <v>28</v>
      </c>
      <c r="J93" s="1">
        <v>662995.23</v>
      </c>
      <c r="K93" t="s">
        <v>26</v>
      </c>
      <c r="L93">
        <v>195941</v>
      </c>
      <c r="M93" t="str">
        <f>"PGTEFT2300          ACC233560"</f>
        <v>PGTEFT2300          ACC233560</v>
      </c>
      <c r="O93">
        <v>1</v>
      </c>
    </row>
    <row r="94" spans="1:17" hidden="1" x14ac:dyDescent="0.25">
      <c r="A94">
        <v>8003879954</v>
      </c>
      <c r="B94">
        <v>55</v>
      </c>
      <c r="C94">
        <v>16052017</v>
      </c>
      <c r="D94">
        <v>341</v>
      </c>
      <c r="E94" t="s">
        <v>29</v>
      </c>
      <c r="F94">
        <v>9938</v>
      </c>
      <c r="G94">
        <v>16658730</v>
      </c>
      <c r="H94" s="1">
        <v>1462.8</v>
      </c>
      <c r="I94" t="s">
        <v>28</v>
      </c>
      <c r="J94" s="1">
        <v>662995.32999999996</v>
      </c>
      <c r="K94" t="s">
        <v>26</v>
      </c>
      <c r="L94">
        <v>195941</v>
      </c>
      <c r="M94" t="str">
        <f>"SYARIKAT LIBRACO AGE"</f>
        <v>SYARIKAT LIBRACO AGE</v>
      </c>
      <c r="O94">
        <v>1</v>
      </c>
      <c r="P94" t="str">
        <f>"PGTEFT2296"</f>
        <v>PGTEFT2296</v>
      </c>
      <c r="Q94" t="str">
        <f>"C-19577"</f>
        <v>C-19577</v>
      </c>
    </row>
    <row r="95" spans="1:17" x14ac:dyDescent="0.25">
      <c r="A95">
        <v>8003879954</v>
      </c>
      <c r="B95">
        <v>54</v>
      </c>
      <c r="C95">
        <v>16052017</v>
      </c>
      <c r="D95">
        <v>299</v>
      </c>
      <c r="E95" t="s">
        <v>30</v>
      </c>
      <c r="F95">
        <v>9938</v>
      </c>
      <c r="G95">
        <v>16658730</v>
      </c>
      <c r="H95" s="1">
        <v>0.01</v>
      </c>
      <c r="I95" t="s">
        <v>28</v>
      </c>
      <c r="J95" s="1">
        <v>664458.13</v>
      </c>
      <c r="K95" t="s">
        <v>26</v>
      </c>
      <c r="L95">
        <v>195941</v>
      </c>
      <c r="M95" t="str">
        <f>"PGTEFT2296          C-19577"</f>
        <v>PGTEFT2296          C-19577</v>
      </c>
      <c r="O95">
        <v>1</v>
      </c>
    </row>
    <row r="96" spans="1:17" hidden="1" x14ac:dyDescent="0.25">
      <c r="A96">
        <v>8003879954</v>
      </c>
      <c r="B96">
        <v>53</v>
      </c>
      <c r="C96">
        <v>16052017</v>
      </c>
      <c r="D96">
        <v>489</v>
      </c>
      <c r="E96" t="s">
        <v>31</v>
      </c>
      <c r="F96">
        <v>9938</v>
      </c>
      <c r="G96">
        <v>16658730</v>
      </c>
      <c r="H96" s="1">
        <v>0.1</v>
      </c>
      <c r="I96" t="s">
        <v>28</v>
      </c>
      <c r="J96" s="1">
        <v>664458.14</v>
      </c>
      <c r="K96" t="s">
        <v>26</v>
      </c>
      <c r="L96">
        <v>195941</v>
      </c>
      <c r="M96" t="str">
        <f>"PGTEFT2296          C-19577"</f>
        <v>PGTEFT2296          C-19577</v>
      </c>
      <c r="O96">
        <v>1</v>
      </c>
    </row>
    <row r="97" spans="1:17" hidden="1" x14ac:dyDescent="0.25">
      <c r="A97">
        <v>8003879954</v>
      </c>
      <c r="B97">
        <v>52</v>
      </c>
      <c r="C97">
        <v>16052017</v>
      </c>
      <c r="D97">
        <v>341</v>
      </c>
      <c r="E97" t="s">
        <v>29</v>
      </c>
      <c r="F97">
        <v>9938</v>
      </c>
      <c r="G97">
        <v>16658279</v>
      </c>
      <c r="H97" s="1">
        <v>4006.8</v>
      </c>
      <c r="I97" t="s">
        <v>28</v>
      </c>
      <c r="J97" s="1">
        <v>664458.23999999999</v>
      </c>
      <c r="K97" t="s">
        <v>26</v>
      </c>
      <c r="L97">
        <v>195941</v>
      </c>
      <c r="M97" t="str">
        <f>"TSUYOI CONNECTIVITY"</f>
        <v>TSUYOI CONNECTIVITY</v>
      </c>
      <c r="O97">
        <v>1</v>
      </c>
      <c r="P97" t="str">
        <f>"PGTEFT2298"</f>
        <v>PGTEFT2298</v>
      </c>
      <c r="Q97" t="str">
        <f>"INV17-0025"</f>
        <v>INV17-0025</v>
      </c>
    </row>
    <row r="98" spans="1:17" x14ac:dyDescent="0.25">
      <c r="A98">
        <v>8003879954</v>
      </c>
      <c r="B98">
        <v>51</v>
      </c>
      <c r="C98">
        <v>16052017</v>
      </c>
      <c r="D98">
        <v>299</v>
      </c>
      <c r="E98" t="s">
        <v>30</v>
      </c>
      <c r="F98">
        <v>9938</v>
      </c>
      <c r="G98">
        <v>16658279</v>
      </c>
      <c r="H98" s="1">
        <v>0.01</v>
      </c>
      <c r="I98" t="s">
        <v>28</v>
      </c>
      <c r="J98" s="1">
        <v>668465.04</v>
      </c>
      <c r="K98" t="s">
        <v>26</v>
      </c>
      <c r="L98">
        <v>195941</v>
      </c>
      <c r="M98" t="str">
        <f>"PGTEFT2298          INV17-0025"</f>
        <v>PGTEFT2298          INV17-0025</v>
      </c>
      <c r="O98">
        <v>1</v>
      </c>
    </row>
    <row r="99" spans="1:17" hidden="1" x14ac:dyDescent="0.25">
      <c r="A99">
        <v>8003879954</v>
      </c>
      <c r="B99">
        <v>50</v>
      </c>
      <c r="C99">
        <v>16052017</v>
      </c>
      <c r="D99">
        <v>489</v>
      </c>
      <c r="E99" t="s">
        <v>31</v>
      </c>
      <c r="F99">
        <v>9938</v>
      </c>
      <c r="G99">
        <v>16658279</v>
      </c>
      <c r="H99" s="1">
        <v>0.1</v>
      </c>
      <c r="I99" t="s">
        <v>28</v>
      </c>
      <c r="J99" s="1">
        <v>668465.05000000005</v>
      </c>
      <c r="K99" t="s">
        <v>26</v>
      </c>
      <c r="L99">
        <v>195941</v>
      </c>
      <c r="M99" t="str">
        <f>"PGTEFT2298          INV17-0025"</f>
        <v>PGTEFT2298          INV17-0025</v>
      </c>
      <c r="O99">
        <v>1</v>
      </c>
    </row>
    <row r="100" spans="1:17" hidden="1" x14ac:dyDescent="0.25">
      <c r="A100">
        <v>8003879954</v>
      </c>
      <c r="B100">
        <v>49</v>
      </c>
      <c r="C100">
        <v>16052017</v>
      </c>
      <c r="D100">
        <v>341</v>
      </c>
      <c r="E100" t="s">
        <v>29</v>
      </c>
      <c r="F100">
        <v>9938</v>
      </c>
      <c r="G100">
        <v>16661715</v>
      </c>
      <c r="H100" s="1">
        <v>17.5</v>
      </c>
      <c r="I100" t="s">
        <v>28</v>
      </c>
      <c r="J100" s="1">
        <v>668465.15</v>
      </c>
      <c r="K100" t="s">
        <v>26</v>
      </c>
      <c r="L100">
        <v>195359</v>
      </c>
      <c r="M100" t="str">
        <f>"KAKI CREATION"</f>
        <v>KAKI CREATION</v>
      </c>
      <c r="O100">
        <v>1</v>
      </c>
      <c r="P100" t="str">
        <f>"PGTEFT2284"</f>
        <v>PGTEFT2284</v>
      </c>
      <c r="Q100" t="str">
        <f>"KKCN17-IN026"</f>
        <v>KKCN17-IN026</v>
      </c>
    </row>
    <row r="101" spans="1:17" x14ac:dyDescent="0.25">
      <c r="A101">
        <v>8003879954</v>
      </c>
      <c r="B101">
        <v>48</v>
      </c>
      <c r="C101">
        <v>16052017</v>
      </c>
      <c r="D101">
        <v>299</v>
      </c>
      <c r="E101" t="s">
        <v>30</v>
      </c>
      <c r="F101">
        <v>9938</v>
      </c>
      <c r="G101">
        <v>16661715</v>
      </c>
      <c r="H101" s="1">
        <v>0.01</v>
      </c>
      <c r="I101" t="s">
        <v>28</v>
      </c>
      <c r="J101" s="1">
        <v>668482.65</v>
      </c>
      <c r="K101" t="s">
        <v>26</v>
      </c>
      <c r="L101">
        <v>195359</v>
      </c>
      <c r="M101" t="str">
        <f>"PGTEFT2284          KKCN17-IN026"</f>
        <v>PGTEFT2284          KKCN17-IN026</v>
      </c>
      <c r="O101">
        <v>1</v>
      </c>
    </row>
    <row r="102" spans="1:17" hidden="1" x14ac:dyDescent="0.25">
      <c r="A102">
        <v>8003879954</v>
      </c>
      <c r="B102">
        <v>47</v>
      </c>
      <c r="C102">
        <v>16052017</v>
      </c>
      <c r="D102">
        <v>489</v>
      </c>
      <c r="E102" t="s">
        <v>31</v>
      </c>
      <c r="F102">
        <v>9938</v>
      </c>
      <c r="G102">
        <v>16661715</v>
      </c>
      <c r="H102" s="1">
        <v>0.1</v>
      </c>
      <c r="I102" t="s">
        <v>28</v>
      </c>
      <c r="J102" s="1">
        <v>668482.66</v>
      </c>
      <c r="K102" t="s">
        <v>26</v>
      </c>
      <c r="L102">
        <v>195359</v>
      </c>
      <c r="M102" t="str">
        <f>"PGTEFT2284          KKCN17-IN026"</f>
        <v>PGTEFT2284          KKCN17-IN026</v>
      </c>
      <c r="O102">
        <v>1</v>
      </c>
    </row>
    <row r="103" spans="1:17" hidden="1" x14ac:dyDescent="0.25">
      <c r="A103">
        <v>8003879954</v>
      </c>
      <c r="B103">
        <v>46</v>
      </c>
      <c r="C103">
        <v>16052017</v>
      </c>
      <c r="D103">
        <v>341</v>
      </c>
      <c r="E103" t="s">
        <v>29</v>
      </c>
      <c r="F103">
        <v>9938</v>
      </c>
      <c r="G103">
        <v>16659842</v>
      </c>
      <c r="H103" s="1">
        <v>270</v>
      </c>
      <c r="I103" t="s">
        <v>28</v>
      </c>
      <c r="J103" s="1">
        <v>668482.76</v>
      </c>
      <c r="K103" t="s">
        <v>26</v>
      </c>
      <c r="L103">
        <v>195359</v>
      </c>
      <c r="M103" t="str">
        <f>"LIANG CHOW MING"</f>
        <v>LIANG CHOW MING</v>
      </c>
      <c r="O103">
        <v>1</v>
      </c>
      <c r="P103" t="str">
        <f>"PGTEFFT2289"</f>
        <v>PGTEFFT2289</v>
      </c>
      <c r="Q103" t="str">
        <f>"INV19512 19514"</f>
        <v>INV19512 19514</v>
      </c>
    </row>
    <row r="104" spans="1:17" x14ac:dyDescent="0.25">
      <c r="A104">
        <v>8003879954</v>
      </c>
      <c r="B104">
        <v>45</v>
      </c>
      <c r="C104">
        <v>16052017</v>
      </c>
      <c r="D104">
        <v>299</v>
      </c>
      <c r="E104" t="s">
        <v>30</v>
      </c>
      <c r="F104">
        <v>9938</v>
      </c>
      <c r="G104">
        <v>16659842</v>
      </c>
      <c r="H104" s="1">
        <v>0.01</v>
      </c>
      <c r="I104" t="s">
        <v>28</v>
      </c>
      <c r="J104" s="1">
        <v>668752.76</v>
      </c>
      <c r="K104" t="s">
        <v>26</v>
      </c>
      <c r="L104">
        <v>195359</v>
      </c>
      <c r="M104" t="str">
        <f>"PGTEFFT2289         INV19512 19514"</f>
        <v>PGTEFFT2289         INV19512 19514</v>
      </c>
      <c r="O104">
        <v>1</v>
      </c>
    </row>
    <row r="105" spans="1:17" hidden="1" x14ac:dyDescent="0.25">
      <c r="A105">
        <v>8003879954</v>
      </c>
      <c r="B105">
        <v>44</v>
      </c>
      <c r="C105">
        <v>16052017</v>
      </c>
      <c r="D105">
        <v>489</v>
      </c>
      <c r="E105" t="s">
        <v>31</v>
      </c>
      <c r="F105">
        <v>9938</v>
      </c>
      <c r="G105">
        <v>16659842</v>
      </c>
      <c r="H105" s="1">
        <v>0.1</v>
      </c>
      <c r="I105" t="s">
        <v>28</v>
      </c>
      <c r="J105" s="1">
        <v>668752.77</v>
      </c>
      <c r="K105" t="s">
        <v>26</v>
      </c>
      <c r="L105">
        <v>195359</v>
      </c>
      <c r="M105" t="str">
        <f>"PGTEFFT2289         INV19512 19514"</f>
        <v>PGTEFFT2289         INV19512 19514</v>
      </c>
      <c r="O105">
        <v>1</v>
      </c>
    </row>
    <row r="106" spans="1:17" hidden="1" x14ac:dyDescent="0.25">
      <c r="A106">
        <v>8003879954</v>
      </c>
      <c r="B106">
        <v>43</v>
      </c>
      <c r="C106">
        <v>16052017</v>
      </c>
      <c r="D106">
        <v>60</v>
      </c>
      <c r="E106" t="s">
        <v>43</v>
      </c>
      <c r="F106">
        <v>9938</v>
      </c>
      <c r="G106">
        <v>16659604</v>
      </c>
      <c r="H106" s="1">
        <v>3800</v>
      </c>
      <c r="I106" t="s">
        <v>28</v>
      </c>
      <c r="J106" s="1">
        <v>668752.87</v>
      </c>
      <c r="K106" t="s">
        <v>26</v>
      </c>
      <c r="L106">
        <v>195359</v>
      </c>
      <c r="M106" t="str">
        <f>"LED MAY'17 PERFORMANCE PLUS MA"</f>
        <v>LED MAY'17 PERFORMANCE PLUS MA</v>
      </c>
      <c r="O106">
        <v>1</v>
      </c>
      <c r="P106" t="str">
        <f>"PGTEFT2291"</f>
        <v>PGTEFT2291</v>
      </c>
      <c r="Q106" t="str">
        <f>"PPM17-07-01"</f>
        <v>PPM17-07-01</v>
      </c>
    </row>
    <row r="107" spans="1:17" hidden="1" x14ac:dyDescent="0.25">
      <c r="A107">
        <v>8003879954</v>
      </c>
      <c r="B107">
        <v>42</v>
      </c>
      <c r="C107">
        <v>16052017</v>
      </c>
      <c r="D107">
        <v>341</v>
      </c>
      <c r="E107" t="s">
        <v>29</v>
      </c>
      <c r="F107">
        <v>9938</v>
      </c>
      <c r="G107">
        <v>16661861</v>
      </c>
      <c r="H107" s="1">
        <v>940</v>
      </c>
      <c r="I107" t="s">
        <v>28</v>
      </c>
      <c r="J107" s="1">
        <v>672552.87</v>
      </c>
      <c r="K107" t="s">
        <v>26</v>
      </c>
      <c r="L107">
        <v>195358</v>
      </c>
      <c r="M107" t="str">
        <f>"DISCOVERY OVERLAND H"</f>
        <v>DISCOVERY OVERLAND H</v>
      </c>
      <c r="O107">
        <v>1</v>
      </c>
      <c r="P107" t="str">
        <f>"PGTEFT2282"</f>
        <v>PGTEFT2282</v>
      </c>
      <c r="Q107" t="str">
        <f>"INV732027"</f>
        <v>INV732027</v>
      </c>
    </row>
    <row r="108" spans="1:17" x14ac:dyDescent="0.25">
      <c r="A108">
        <v>8003879954</v>
      </c>
      <c r="B108">
        <v>41</v>
      </c>
      <c r="C108">
        <v>16052017</v>
      </c>
      <c r="D108">
        <v>299</v>
      </c>
      <c r="E108" t="s">
        <v>30</v>
      </c>
      <c r="F108">
        <v>9938</v>
      </c>
      <c r="G108">
        <v>16661861</v>
      </c>
      <c r="H108" s="1">
        <v>0.01</v>
      </c>
      <c r="I108" t="s">
        <v>28</v>
      </c>
      <c r="J108" s="1">
        <v>673492.87</v>
      </c>
      <c r="K108" t="s">
        <v>26</v>
      </c>
      <c r="L108">
        <v>195358</v>
      </c>
      <c r="M108" t="str">
        <f>"PGTEFT2282          INV732027"</f>
        <v>PGTEFT2282          INV732027</v>
      </c>
      <c r="O108">
        <v>1</v>
      </c>
    </row>
    <row r="109" spans="1:17" hidden="1" x14ac:dyDescent="0.25">
      <c r="A109">
        <v>8003879954</v>
      </c>
      <c r="B109">
        <v>40</v>
      </c>
      <c r="C109">
        <v>16052017</v>
      </c>
      <c r="D109">
        <v>489</v>
      </c>
      <c r="E109" t="s">
        <v>31</v>
      </c>
      <c r="F109">
        <v>9938</v>
      </c>
      <c r="G109">
        <v>16661861</v>
      </c>
      <c r="H109" s="1">
        <v>0.1</v>
      </c>
      <c r="I109" t="s">
        <v>28</v>
      </c>
      <c r="J109" s="1">
        <v>673492.88</v>
      </c>
      <c r="K109" t="s">
        <v>26</v>
      </c>
      <c r="L109">
        <v>195358</v>
      </c>
      <c r="M109" t="str">
        <f>"PGTEFT2282          INV732027"</f>
        <v>PGTEFT2282          INV732027</v>
      </c>
      <c r="O109">
        <v>1</v>
      </c>
    </row>
    <row r="110" spans="1:17" hidden="1" x14ac:dyDescent="0.25">
      <c r="A110">
        <v>8003879954</v>
      </c>
      <c r="B110">
        <v>39</v>
      </c>
      <c r="C110">
        <v>16052017</v>
      </c>
      <c r="D110">
        <v>60</v>
      </c>
      <c r="E110" t="s">
        <v>43</v>
      </c>
      <c r="F110">
        <v>9938</v>
      </c>
      <c r="G110">
        <v>16661427</v>
      </c>
      <c r="H110" s="1">
        <v>556.45000000000005</v>
      </c>
      <c r="I110" t="s">
        <v>28</v>
      </c>
      <c r="J110" s="1">
        <v>673492.98</v>
      </c>
      <c r="K110" t="s">
        <v>26</v>
      </c>
      <c r="L110">
        <v>195358</v>
      </c>
      <c r="M110" t="str">
        <f>"COMPANY CAR MAINTANA LIM HOOI LENG"</f>
        <v>COMPANY CAR MAINTANA LIM HOOI LENG</v>
      </c>
      <c r="O110">
        <v>1</v>
      </c>
      <c r="P110" t="str">
        <f>"PGTEFT2287"</f>
        <v>PGTEFT2287</v>
      </c>
      <c r="Q110" t="str">
        <f>"CLAIMS"</f>
        <v>CLAIMS</v>
      </c>
    </row>
    <row r="111" spans="1:17" hidden="1" x14ac:dyDescent="0.25">
      <c r="A111">
        <v>8003879954</v>
      </c>
      <c r="B111">
        <v>38</v>
      </c>
      <c r="C111">
        <v>16052017</v>
      </c>
      <c r="D111">
        <v>341</v>
      </c>
      <c r="E111" t="s">
        <v>29</v>
      </c>
      <c r="F111">
        <v>9938</v>
      </c>
      <c r="G111">
        <v>16661765</v>
      </c>
      <c r="H111" s="1">
        <v>180</v>
      </c>
      <c r="I111" t="s">
        <v>28</v>
      </c>
      <c r="J111" s="1">
        <v>674049.43</v>
      </c>
      <c r="K111" t="s">
        <v>26</v>
      </c>
      <c r="L111">
        <v>195356</v>
      </c>
      <c r="M111" t="str">
        <f>"KOLEKSI WASAYANG"</f>
        <v>KOLEKSI WASAYANG</v>
      </c>
      <c r="O111">
        <v>1</v>
      </c>
      <c r="P111" t="str">
        <f>"PGTEFT2283"</f>
        <v>PGTEFT2283</v>
      </c>
    </row>
    <row r="112" spans="1:17" x14ac:dyDescent="0.25">
      <c r="A112">
        <v>8003879954</v>
      </c>
      <c r="B112">
        <v>37</v>
      </c>
      <c r="C112">
        <v>16052017</v>
      </c>
      <c r="D112">
        <v>299</v>
      </c>
      <c r="E112" t="s">
        <v>30</v>
      </c>
      <c r="F112">
        <v>9938</v>
      </c>
      <c r="G112">
        <v>16661765</v>
      </c>
      <c r="H112" s="1">
        <v>0.01</v>
      </c>
      <c r="I112" t="s">
        <v>28</v>
      </c>
      <c r="J112" s="1">
        <v>674229.43</v>
      </c>
      <c r="K112" t="s">
        <v>26</v>
      </c>
      <c r="L112">
        <v>195356</v>
      </c>
      <c r="M112" t="str">
        <f>"PGTEFT2283"</f>
        <v>PGTEFT2283</v>
      </c>
      <c r="O112">
        <v>1</v>
      </c>
    </row>
    <row r="113" spans="1:17" hidden="1" x14ac:dyDescent="0.25">
      <c r="A113">
        <v>8003879954</v>
      </c>
      <c r="B113">
        <v>36</v>
      </c>
      <c r="C113">
        <v>16052017</v>
      </c>
      <c r="D113">
        <v>489</v>
      </c>
      <c r="E113" t="s">
        <v>31</v>
      </c>
      <c r="F113">
        <v>9938</v>
      </c>
      <c r="G113">
        <v>16661765</v>
      </c>
      <c r="H113" s="1">
        <v>0.1</v>
      </c>
      <c r="I113" t="s">
        <v>28</v>
      </c>
      <c r="J113" s="1">
        <v>674229.44</v>
      </c>
      <c r="K113" t="s">
        <v>26</v>
      </c>
      <c r="L113">
        <v>195356</v>
      </c>
      <c r="M113" t="str">
        <f>"PGTEFT2283"</f>
        <v>PGTEFT2283</v>
      </c>
      <c r="O113">
        <v>1</v>
      </c>
    </row>
    <row r="114" spans="1:17" hidden="1" x14ac:dyDescent="0.25">
      <c r="A114">
        <v>8003879954</v>
      </c>
      <c r="B114">
        <v>35</v>
      </c>
      <c r="C114">
        <v>16052017</v>
      </c>
      <c r="D114">
        <v>341</v>
      </c>
      <c r="E114" t="s">
        <v>29</v>
      </c>
      <c r="F114">
        <v>9938</v>
      </c>
      <c r="G114">
        <v>16661056</v>
      </c>
      <c r="H114" s="1">
        <v>90</v>
      </c>
      <c r="I114" t="s">
        <v>28</v>
      </c>
      <c r="J114" s="1">
        <v>674229.54</v>
      </c>
      <c r="K114" t="s">
        <v>26</v>
      </c>
      <c r="L114">
        <v>195356</v>
      </c>
      <c r="M114" t="str">
        <f>"LIM WOI HONG"</f>
        <v>LIM WOI HONG</v>
      </c>
      <c r="O114">
        <v>1</v>
      </c>
      <c r="P114" t="str">
        <f>"PGTEFT2288"</f>
        <v>PGTEFT2288</v>
      </c>
      <c r="Q114" t="str">
        <f>"INV001-2017"</f>
        <v>INV001-2017</v>
      </c>
    </row>
    <row r="115" spans="1:17" x14ac:dyDescent="0.25">
      <c r="A115">
        <v>8003879954</v>
      </c>
      <c r="B115">
        <v>34</v>
      </c>
      <c r="C115">
        <v>16052017</v>
      </c>
      <c r="D115">
        <v>299</v>
      </c>
      <c r="E115" t="s">
        <v>30</v>
      </c>
      <c r="F115">
        <v>9938</v>
      </c>
      <c r="G115">
        <v>16661056</v>
      </c>
      <c r="H115" s="1">
        <v>0.01</v>
      </c>
      <c r="I115" t="s">
        <v>28</v>
      </c>
      <c r="J115" s="1">
        <v>674319.54</v>
      </c>
      <c r="K115" t="s">
        <v>26</v>
      </c>
      <c r="L115">
        <v>195356</v>
      </c>
      <c r="M115" t="str">
        <f>"PGTEFT2288          INV001-2017"</f>
        <v>PGTEFT2288          INV001-2017</v>
      </c>
      <c r="O115">
        <v>1</v>
      </c>
    </row>
    <row r="116" spans="1:17" hidden="1" x14ac:dyDescent="0.25">
      <c r="A116">
        <v>8003879954</v>
      </c>
      <c r="B116">
        <v>33</v>
      </c>
      <c r="C116">
        <v>16052017</v>
      </c>
      <c r="D116">
        <v>489</v>
      </c>
      <c r="E116" t="s">
        <v>31</v>
      </c>
      <c r="F116">
        <v>9938</v>
      </c>
      <c r="G116">
        <v>16661056</v>
      </c>
      <c r="H116" s="1">
        <v>0.1</v>
      </c>
      <c r="I116" t="s">
        <v>28</v>
      </c>
      <c r="J116" s="1">
        <v>674319.55</v>
      </c>
      <c r="K116" t="s">
        <v>26</v>
      </c>
      <c r="L116">
        <v>195356</v>
      </c>
      <c r="M116" t="str">
        <f>"PGTEFT2288          INV001-2017"</f>
        <v>PGTEFT2288          INV001-2017</v>
      </c>
      <c r="O116">
        <v>1</v>
      </c>
    </row>
    <row r="117" spans="1:17" hidden="1" x14ac:dyDescent="0.25">
      <c r="A117">
        <v>8003879954</v>
      </c>
      <c r="B117">
        <v>32</v>
      </c>
      <c r="C117">
        <v>16052017</v>
      </c>
      <c r="D117">
        <v>341</v>
      </c>
      <c r="E117" t="s">
        <v>29</v>
      </c>
      <c r="F117">
        <v>9938</v>
      </c>
      <c r="G117">
        <v>16659729</v>
      </c>
      <c r="H117" s="1">
        <v>3710</v>
      </c>
      <c r="I117" t="s">
        <v>28</v>
      </c>
      <c r="J117" s="1">
        <v>674319.65</v>
      </c>
      <c r="K117" t="s">
        <v>26</v>
      </c>
      <c r="L117">
        <v>195356</v>
      </c>
      <c r="M117" t="str">
        <f>"OPTIMAL MEDIA SDN BH"</f>
        <v>OPTIMAL MEDIA SDN BH</v>
      </c>
      <c r="O117">
        <v>1</v>
      </c>
      <c r="P117" t="str">
        <f>"PGTEFT2290"</f>
        <v>PGTEFT2290</v>
      </c>
      <c r="Q117" t="str">
        <f>"INV296"</f>
        <v>INV296</v>
      </c>
    </row>
    <row r="118" spans="1:17" x14ac:dyDescent="0.25">
      <c r="A118">
        <v>8003879954</v>
      </c>
      <c r="B118">
        <v>31</v>
      </c>
      <c r="C118">
        <v>16052017</v>
      </c>
      <c r="D118">
        <v>299</v>
      </c>
      <c r="E118" t="s">
        <v>30</v>
      </c>
      <c r="F118">
        <v>9938</v>
      </c>
      <c r="G118">
        <v>16659729</v>
      </c>
      <c r="H118" s="1">
        <v>0.01</v>
      </c>
      <c r="I118" t="s">
        <v>28</v>
      </c>
      <c r="J118" s="1">
        <v>678029.65</v>
      </c>
      <c r="K118" t="s">
        <v>26</v>
      </c>
      <c r="L118">
        <v>195356</v>
      </c>
      <c r="M118" t="str">
        <f>"PGTEFT2290          INV296"</f>
        <v>PGTEFT2290          INV296</v>
      </c>
      <c r="O118">
        <v>1</v>
      </c>
    </row>
    <row r="119" spans="1:17" hidden="1" x14ac:dyDescent="0.25">
      <c r="A119">
        <v>8003879954</v>
      </c>
      <c r="B119">
        <v>30</v>
      </c>
      <c r="C119">
        <v>16052017</v>
      </c>
      <c r="D119">
        <v>489</v>
      </c>
      <c r="E119" t="s">
        <v>31</v>
      </c>
      <c r="F119">
        <v>9938</v>
      </c>
      <c r="G119">
        <v>16659729</v>
      </c>
      <c r="H119" s="1">
        <v>0.1</v>
      </c>
      <c r="I119" t="s">
        <v>28</v>
      </c>
      <c r="J119" s="1">
        <v>678029.66</v>
      </c>
      <c r="K119" t="s">
        <v>26</v>
      </c>
      <c r="L119">
        <v>195356</v>
      </c>
      <c r="M119" t="str">
        <f>"PGTEFT2290          INV296"</f>
        <v>PGTEFT2290          INV296</v>
      </c>
      <c r="O119">
        <v>1</v>
      </c>
    </row>
    <row r="120" spans="1:17" hidden="1" x14ac:dyDescent="0.25">
      <c r="A120">
        <v>8003879954</v>
      </c>
      <c r="B120">
        <v>29</v>
      </c>
      <c r="C120">
        <v>16052017</v>
      </c>
      <c r="D120">
        <v>60</v>
      </c>
      <c r="E120" t="s">
        <v>43</v>
      </c>
      <c r="F120">
        <v>9938</v>
      </c>
      <c r="G120">
        <v>16661607</v>
      </c>
      <c r="H120" s="1">
        <v>1000</v>
      </c>
      <c r="I120" t="s">
        <v>28</v>
      </c>
      <c r="J120" s="1">
        <v>678029.76</v>
      </c>
      <c r="K120" t="s">
        <v>26</v>
      </c>
      <c r="L120">
        <v>195356</v>
      </c>
      <c r="M120" t="str">
        <f>"SUBSIDY AICHI TOHO U DISTED PULAU PINANG"</f>
        <v>SUBSIDY AICHI TOHO U DISTED PULAU PINANG</v>
      </c>
      <c r="O120">
        <v>1</v>
      </c>
      <c r="P120" t="str">
        <f>"PGTEFT2285"</f>
        <v>PGTEFT2285</v>
      </c>
      <c r="Q120" t="str">
        <f>"PCET"</f>
        <v>PCET</v>
      </c>
    </row>
    <row r="121" spans="1:17" hidden="1" x14ac:dyDescent="0.25">
      <c r="A121">
        <v>8003879954</v>
      </c>
      <c r="B121">
        <v>28</v>
      </c>
      <c r="C121">
        <v>16052017</v>
      </c>
      <c r="D121">
        <v>60</v>
      </c>
      <c r="E121" t="s">
        <v>43</v>
      </c>
      <c r="F121">
        <v>9938</v>
      </c>
      <c r="G121">
        <v>16662471</v>
      </c>
      <c r="H121" s="1">
        <v>8890</v>
      </c>
      <c r="I121" t="s">
        <v>28</v>
      </c>
      <c r="J121" s="1">
        <v>679029.76000000001</v>
      </c>
      <c r="K121" t="s">
        <v>26</v>
      </c>
      <c r="L121">
        <v>195356</v>
      </c>
      <c r="M121" t="str">
        <f>"TRAVEL KIT &amp; LANYARD HOOI CERAMICS &amp; GIF"</f>
        <v>TRAVEL KIT &amp; LANYARD HOOI CERAMICS &amp; GIF</v>
      </c>
      <c r="O121">
        <v>1</v>
      </c>
      <c r="P121" t="str">
        <f>"PGTEFT2280"</f>
        <v>PGTEFT2280</v>
      </c>
      <c r="Q121" t="str">
        <f>"INV2829 INV2831"</f>
        <v>INV2829 INV2831</v>
      </c>
    </row>
    <row r="122" spans="1:17" hidden="1" x14ac:dyDescent="0.25">
      <c r="A122">
        <v>8003879954</v>
      </c>
      <c r="B122">
        <v>27</v>
      </c>
      <c r="C122">
        <v>16052017</v>
      </c>
      <c r="D122">
        <v>341</v>
      </c>
      <c r="E122" t="s">
        <v>29</v>
      </c>
      <c r="F122">
        <v>9938</v>
      </c>
      <c r="G122">
        <v>16663039</v>
      </c>
      <c r="H122" s="1">
        <v>392.8</v>
      </c>
      <c r="I122" t="s">
        <v>28</v>
      </c>
      <c r="J122" s="1">
        <v>687919.76</v>
      </c>
      <c r="K122" t="s">
        <v>26</v>
      </c>
      <c r="L122">
        <v>194936</v>
      </c>
      <c r="M122" t="str">
        <f>"CLARITY PUBLISHING S"</f>
        <v>CLARITY PUBLISHING S</v>
      </c>
      <c r="O122">
        <v>1</v>
      </c>
      <c r="P122" t="str">
        <f>"PGTEFT2275"</f>
        <v>PGTEFT2275</v>
      </c>
      <c r="Q122" t="str">
        <f>"PGT07-17INV"</f>
        <v>PGT07-17INV</v>
      </c>
    </row>
    <row r="123" spans="1:17" x14ac:dyDescent="0.25">
      <c r="A123">
        <v>8003879954</v>
      </c>
      <c r="B123">
        <v>26</v>
      </c>
      <c r="C123">
        <v>16052017</v>
      </c>
      <c r="D123">
        <v>299</v>
      </c>
      <c r="E123" t="s">
        <v>30</v>
      </c>
      <c r="F123">
        <v>9938</v>
      </c>
      <c r="G123">
        <v>16663039</v>
      </c>
      <c r="H123" s="1">
        <v>0.01</v>
      </c>
      <c r="I123" t="s">
        <v>28</v>
      </c>
      <c r="J123" s="1">
        <v>688312.56</v>
      </c>
      <c r="K123" t="s">
        <v>26</v>
      </c>
      <c r="L123">
        <v>194936</v>
      </c>
      <c r="M123" t="str">
        <f>"PGTEFT2275          PGT07-17INV"</f>
        <v>PGTEFT2275          PGT07-17INV</v>
      </c>
      <c r="O123">
        <v>1</v>
      </c>
    </row>
    <row r="124" spans="1:17" hidden="1" x14ac:dyDescent="0.25">
      <c r="A124">
        <v>8003879954</v>
      </c>
      <c r="B124">
        <v>25</v>
      </c>
      <c r="C124">
        <v>16052017</v>
      </c>
      <c r="D124">
        <v>489</v>
      </c>
      <c r="E124" t="s">
        <v>31</v>
      </c>
      <c r="F124">
        <v>9938</v>
      </c>
      <c r="G124">
        <v>16663039</v>
      </c>
      <c r="H124" s="1">
        <v>0.1</v>
      </c>
      <c r="I124" t="s">
        <v>28</v>
      </c>
      <c r="J124" s="1">
        <v>688312.57</v>
      </c>
      <c r="K124" t="s">
        <v>26</v>
      </c>
      <c r="L124">
        <v>194936</v>
      </c>
      <c r="M124" t="str">
        <f>"PGTEFT2275          PGT07-17INV"</f>
        <v>PGTEFT2275          PGT07-17INV</v>
      </c>
      <c r="O124">
        <v>1</v>
      </c>
    </row>
    <row r="125" spans="1:17" hidden="1" x14ac:dyDescent="0.25">
      <c r="A125">
        <v>8003879954</v>
      </c>
      <c r="B125">
        <v>24</v>
      </c>
      <c r="C125">
        <v>16052017</v>
      </c>
      <c r="D125">
        <v>341</v>
      </c>
      <c r="E125" t="s">
        <v>29</v>
      </c>
      <c r="F125">
        <v>9938</v>
      </c>
      <c r="G125">
        <v>16663203</v>
      </c>
      <c r="H125" s="1">
        <v>100</v>
      </c>
      <c r="I125" t="s">
        <v>28</v>
      </c>
      <c r="J125" s="1">
        <v>688312.67</v>
      </c>
      <c r="K125" t="s">
        <v>26</v>
      </c>
      <c r="L125">
        <v>194932</v>
      </c>
      <c r="M125" t="str">
        <f>"CREATHINK SOLUTIONS"</f>
        <v>CREATHINK SOLUTIONS</v>
      </c>
      <c r="O125">
        <v>1</v>
      </c>
      <c r="P125" t="str">
        <f>"PGTEFT2274"</f>
        <v>PGTEFT2274</v>
      </c>
      <c r="Q125" t="str">
        <f>"TRANSLATION"</f>
        <v>TRANSLATION</v>
      </c>
    </row>
    <row r="126" spans="1:17" x14ac:dyDescent="0.25">
      <c r="A126">
        <v>8003879954</v>
      </c>
      <c r="B126">
        <v>23</v>
      </c>
      <c r="C126">
        <v>16052017</v>
      </c>
      <c r="D126">
        <v>299</v>
      </c>
      <c r="E126" t="s">
        <v>30</v>
      </c>
      <c r="F126">
        <v>9938</v>
      </c>
      <c r="G126">
        <v>16663203</v>
      </c>
      <c r="H126" s="1">
        <v>0.01</v>
      </c>
      <c r="I126" t="s">
        <v>28</v>
      </c>
      <c r="J126" s="1">
        <v>688412.67</v>
      </c>
      <c r="K126" t="s">
        <v>26</v>
      </c>
      <c r="L126">
        <v>194932</v>
      </c>
      <c r="M126" t="str">
        <f>"PGTEFT2274          TRANSLATION"</f>
        <v>PGTEFT2274          TRANSLATION</v>
      </c>
      <c r="O126">
        <v>1</v>
      </c>
    </row>
    <row r="127" spans="1:17" hidden="1" x14ac:dyDescent="0.25">
      <c r="A127">
        <v>8003879954</v>
      </c>
      <c r="B127">
        <v>22</v>
      </c>
      <c r="C127">
        <v>16052017</v>
      </c>
      <c r="D127">
        <v>489</v>
      </c>
      <c r="E127" t="s">
        <v>31</v>
      </c>
      <c r="F127">
        <v>9938</v>
      </c>
      <c r="G127">
        <v>16663203</v>
      </c>
      <c r="H127" s="1">
        <v>0.1</v>
      </c>
      <c r="I127" t="s">
        <v>28</v>
      </c>
      <c r="J127" s="1">
        <v>688412.68</v>
      </c>
      <c r="K127" t="s">
        <v>26</v>
      </c>
      <c r="L127">
        <v>194932</v>
      </c>
      <c r="M127" t="str">
        <f>"PGTEFT2274          TRANSLATION"</f>
        <v>PGTEFT2274          TRANSLATION</v>
      </c>
      <c r="O127">
        <v>1</v>
      </c>
    </row>
    <row r="128" spans="1:17" hidden="1" x14ac:dyDescent="0.25">
      <c r="A128">
        <v>8003879954</v>
      </c>
      <c r="B128">
        <v>21</v>
      </c>
      <c r="C128">
        <v>16052017</v>
      </c>
      <c r="D128">
        <v>341</v>
      </c>
      <c r="E128" t="s">
        <v>29</v>
      </c>
      <c r="F128">
        <v>9938</v>
      </c>
      <c r="G128">
        <v>16663526</v>
      </c>
      <c r="H128" s="1">
        <v>165.6</v>
      </c>
      <c r="I128" t="s">
        <v>28</v>
      </c>
      <c r="J128" s="1">
        <v>688412.78</v>
      </c>
      <c r="K128" t="s">
        <v>26</v>
      </c>
      <c r="L128">
        <v>194933</v>
      </c>
      <c r="M128" t="str">
        <f>"HEKTY PUBLISHING SDN"</f>
        <v>HEKTY PUBLISHING SDN</v>
      </c>
      <c r="O128">
        <v>1</v>
      </c>
      <c r="P128" t="str">
        <f>"PGTEFT2261"</f>
        <v>PGTEFT2261</v>
      </c>
      <c r="Q128" t="str">
        <f>"INV00486"</f>
        <v>INV00486</v>
      </c>
    </row>
    <row r="129" spans="1:17" x14ac:dyDescent="0.25">
      <c r="A129">
        <v>8003879954</v>
      </c>
      <c r="B129">
        <v>20</v>
      </c>
      <c r="C129">
        <v>16052017</v>
      </c>
      <c r="D129">
        <v>299</v>
      </c>
      <c r="E129" t="s">
        <v>30</v>
      </c>
      <c r="F129">
        <v>9938</v>
      </c>
      <c r="G129">
        <v>16663526</v>
      </c>
      <c r="H129" s="1">
        <v>0.01</v>
      </c>
      <c r="I129" t="s">
        <v>28</v>
      </c>
      <c r="J129" s="1">
        <v>688578.38</v>
      </c>
      <c r="K129" t="s">
        <v>26</v>
      </c>
      <c r="L129">
        <v>194933</v>
      </c>
      <c r="M129" t="str">
        <f>"PGTEFT2261          INV00486"</f>
        <v>PGTEFT2261          INV00486</v>
      </c>
      <c r="O129">
        <v>1</v>
      </c>
    </row>
    <row r="130" spans="1:17" hidden="1" x14ac:dyDescent="0.25">
      <c r="A130">
        <v>8003879954</v>
      </c>
      <c r="B130">
        <v>19</v>
      </c>
      <c r="C130">
        <v>16052017</v>
      </c>
      <c r="D130">
        <v>489</v>
      </c>
      <c r="E130" t="s">
        <v>31</v>
      </c>
      <c r="F130">
        <v>9938</v>
      </c>
      <c r="G130">
        <v>16663526</v>
      </c>
      <c r="H130" s="1">
        <v>0.1</v>
      </c>
      <c r="I130" t="s">
        <v>28</v>
      </c>
      <c r="J130" s="1">
        <v>688578.39</v>
      </c>
      <c r="K130" t="s">
        <v>26</v>
      </c>
      <c r="L130">
        <v>194933</v>
      </c>
      <c r="M130" t="str">
        <f>"PGTEFT2261          INV00486"</f>
        <v>PGTEFT2261          INV00486</v>
      </c>
      <c r="O130">
        <v>1</v>
      </c>
    </row>
    <row r="131" spans="1:17" hidden="1" x14ac:dyDescent="0.25">
      <c r="A131">
        <v>8003879954</v>
      </c>
      <c r="B131">
        <v>18</v>
      </c>
      <c r="C131">
        <v>16052017</v>
      </c>
      <c r="D131">
        <v>341</v>
      </c>
      <c r="E131" t="s">
        <v>29</v>
      </c>
      <c r="F131">
        <v>9938</v>
      </c>
      <c r="G131">
        <v>16662537</v>
      </c>
      <c r="H131" s="1">
        <v>339.2</v>
      </c>
      <c r="I131" t="s">
        <v>28</v>
      </c>
      <c r="J131" s="1">
        <v>688578.49</v>
      </c>
      <c r="K131" t="s">
        <v>26</v>
      </c>
      <c r="L131">
        <v>194933</v>
      </c>
      <c r="M131" t="str">
        <f>"FUJI XEROX ASIA PACI"</f>
        <v>FUJI XEROX ASIA PACI</v>
      </c>
      <c r="O131">
        <v>1</v>
      </c>
      <c r="P131" t="str">
        <f>"PGTEFT2279"</f>
        <v>PGTEFT2279</v>
      </c>
      <c r="Q131" t="str">
        <f>"INV301236570"</f>
        <v>INV301236570</v>
      </c>
    </row>
    <row r="132" spans="1:17" x14ac:dyDescent="0.25">
      <c r="A132">
        <v>8003879954</v>
      </c>
      <c r="B132">
        <v>17</v>
      </c>
      <c r="C132">
        <v>16052017</v>
      </c>
      <c r="D132">
        <v>299</v>
      </c>
      <c r="E132" t="s">
        <v>30</v>
      </c>
      <c r="F132">
        <v>9938</v>
      </c>
      <c r="G132">
        <v>16662537</v>
      </c>
      <c r="H132" s="1">
        <v>0.01</v>
      </c>
      <c r="I132" t="s">
        <v>28</v>
      </c>
      <c r="J132" s="1">
        <v>688917.69</v>
      </c>
      <c r="K132" t="s">
        <v>26</v>
      </c>
      <c r="L132">
        <v>194933</v>
      </c>
      <c r="M132" t="str">
        <f>"PGTEFT2279          INV301236570"</f>
        <v>PGTEFT2279          INV301236570</v>
      </c>
      <c r="O132">
        <v>1</v>
      </c>
    </row>
    <row r="133" spans="1:17" hidden="1" x14ac:dyDescent="0.25">
      <c r="A133">
        <v>8003879954</v>
      </c>
      <c r="B133">
        <v>16</v>
      </c>
      <c r="C133">
        <v>16052017</v>
      </c>
      <c r="D133">
        <v>489</v>
      </c>
      <c r="E133" t="s">
        <v>31</v>
      </c>
      <c r="F133">
        <v>9938</v>
      </c>
      <c r="G133">
        <v>16662537</v>
      </c>
      <c r="H133" s="1">
        <v>0.1</v>
      </c>
      <c r="I133" t="s">
        <v>28</v>
      </c>
      <c r="J133" s="1">
        <v>688917.7</v>
      </c>
      <c r="K133" t="s">
        <v>26</v>
      </c>
      <c r="L133">
        <v>194933</v>
      </c>
      <c r="M133" t="str">
        <f>"PGTEFT2279          INV301236570"</f>
        <v>PGTEFT2279          INV301236570</v>
      </c>
      <c r="O133">
        <v>1</v>
      </c>
    </row>
    <row r="134" spans="1:17" hidden="1" x14ac:dyDescent="0.25">
      <c r="A134">
        <v>8003879954</v>
      </c>
      <c r="B134">
        <v>15</v>
      </c>
      <c r="C134">
        <v>16052017</v>
      </c>
      <c r="D134">
        <v>345</v>
      </c>
      <c r="E134" t="s">
        <v>27</v>
      </c>
      <c r="F134">
        <v>9938</v>
      </c>
      <c r="G134">
        <v>16662868</v>
      </c>
      <c r="H134" s="1">
        <v>301.91000000000003</v>
      </c>
      <c r="I134" t="s">
        <v>28</v>
      </c>
      <c r="J134" s="1">
        <v>688917.8</v>
      </c>
      <c r="K134" t="s">
        <v>26</v>
      </c>
      <c r="L134">
        <v>194933</v>
      </c>
      <c r="M134" t="str">
        <f>"ATM &amp; SHANGHAI DANNY TAN LEE KEONG"</f>
        <v>ATM &amp; SHANGHAI DANNY TAN LEE KEONG</v>
      </c>
      <c r="O134">
        <v>1</v>
      </c>
      <c r="P134" t="str">
        <f>"PGTEFT2277"</f>
        <v>PGTEFT2277</v>
      </c>
      <c r="Q134" t="str">
        <f>"CLAIMS"</f>
        <v>CLAIMS</v>
      </c>
    </row>
    <row r="135" spans="1:17" hidden="1" x14ac:dyDescent="0.25">
      <c r="A135">
        <v>8003879954</v>
      </c>
      <c r="B135">
        <v>14</v>
      </c>
      <c r="C135">
        <v>16052017</v>
      </c>
      <c r="D135">
        <v>341</v>
      </c>
      <c r="E135" t="s">
        <v>29</v>
      </c>
      <c r="F135">
        <v>9938</v>
      </c>
      <c r="G135">
        <v>16663287</v>
      </c>
      <c r="H135" s="1">
        <v>424</v>
      </c>
      <c r="I135" t="s">
        <v>28</v>
      </c>
      <c r="J135" s="1">
        <v>689219.71</v>
      </c>
      <c r="K135" t="s">
        <v>26</v>
      </c>
      <c r="L135">
        <v>194933</v>
      </c>
      <c r="M135" t="str">
        <f>"ADR &amp; JNA VENTURE"</f>
        <v>ADR &amp; JNA VENTURE</v>
      </c>
      <c r="O135">
        <v>1</v>
      </c>
      <c r="P135" t="str">
        <f>"PGTEFT2273"</f>
        <v>PGTEFT2273</v>
      </c>
      <c r="Q135" t="str">
        <f>"00014038"</f>
        <v>00014038</v>
      </c>
    </row>
    <row r="136" spans="1:17" x14ac:dyDescent="0.25">
      <c r="A136">
        <v>8003879954</v>
      </c>
      <c r="B136">
        <v>13</v>
      </c>
      <c r="C136">
        <v>16052017</v>
      </c>
      <c r="D136">
        <v>299</v>
      </c>
      <c r="E136" t="s">
        <v>30</v>
      </c>
      <c r="F136">
        <v>9938</v>
      </c>
      <c r="G136">
        <v>16663287</v>
      </c>
      <c r="H136" s="1">
        <v>0.01</v>
      </c>
      <c r="I136" t="s">
        <v>28</v>
      </c>
      <c r="J136" s="1">
        <v>689643.71</v>
      </c>
      <c r="K136" t="s">
        <v>26</v>
      </c>
      <c r="L136">
        <v>194933</v>
      </c>
      <c r="M136" t="str">
        <f>"PGTEFT2273          00014038"</f>
        <v>PGTEFT2273          00014038</v>
      </c>
      <c r="O136">
        <v>1</v>
      </c>
    </row>
    <row r="137" spans="1:17" hidden="1" x14ac:dyDescent="0.25">
      <c r="A137">
        <v>8003879954</v>
      </c>
      <c r="B137">
        <v>12</v>
      </c>
      <c r="C137">
        <v>16052017</v>
      </c>
      <c r="D137">
        <v>489</v>
      </c>
      <c r="E137" t="s">
        <v>31</v>
      </c>
      <c r="F137">
        <v>9938</v>
      </c>
      <c r="G137">
        <v>16663287</v>
      </c>
      <c r="H137" s="1">
        <v>0.1</v>
      </c>
      <c r="I137" t="s">
        <v>28</v>
      </c>
      <c r="J137" s="1">
        <v>689643.72</v>
      </c>
      <c r="K137" t="s">
        <v>26</v>
      </c>
      <c r="L137">
        <v>194933</v>
      </c>
      <c r="M137" t="str">
        <f>"PGTEFT2273          00014038"</f>
        <v>PGTEFT2273          00014038</v>
      </c>
      <c r="O137">
        <v>1</v>
      </c>
    </row>
    <row r="138" spans="1:17" hidden="1" x14ac:dyDescent="0.25">
      <c r="A138">
        <v>8003879954</v>
      </c>
      <c r="B138">
        <v>11</v>
      </c>
      <c r="C138">
        <v>16052017</v>
      </c>
      <c r="D138">
        <v>341</v>
      </c>
      <c r="E138" t="s">
        <v>29</v>
      </c>
      <c r="F138">
        <v>9938</v>
      </c>
      <c r="G138">
        <v>16662784</v>
      </c>
      <c r="H138" s="1">
        <v>18</v>
      </c>
      <c r="I138" t="s">
        <v>28</v>
      </c>
      <c r="J138" s="1">
        <v>689643.82</v>
      </c>
      <c r="K138" t="s">
        <v>26</v>
      </c>
      <c r="L138">
        <v>194932</v>
      </c>
      <c r="M138" t="str">
        <f>"EDITORIAL ASSOCIATES"</f>
        <v>EDITORIAL ASSOCIATES</v>
      </c>
      <c r="O138">
        <v>1</v>
      </c>
      <c r="P138" t="str">
        <f>"PGTEFT2278"</f>
        <v>PGTEFT2278</v>
      </c>
    </row>
    <row r="139" spans="1:17" x14ac:dyDescent="0.25">
      <c r="A139">
        <v>8003879954</v>
      </c>
      <c r="B139">
        <v>10</v>
      </c>
      <c r="C139">
        <v>16052017</v>
      </c>
      <c r="D139">
        <v>299</v>
      </c>
      <c r="E139" t="s">
        <v>30</v>
      </c>
      <c r="F139">
        <v>9938</v>
      </c>
      <c r="G139">
        <v>16662784</v>
      </c>
      <c r="H139" s="1">
        <v>0.01</v>
      </c>
      <c r="I139" t="s">
        <v>28</v>
      </c>
      <c r="J139" s="1">
        <v>689661.82</v>
      </c>
      <c r="K139" t="s">
        <v>26</v>
      </c>
      <c r="L139">
        <v>194932</v>
      </c>
      <c r="M139" t="str">
        <f>"PGTEFT2278"</f>
        <v>PGTEFT2278</v>
      </c>
      <c r="O139">
        <v>1</v>
      </c>
    </row>
    <row r="140" spans="1:17" hidden="1" x14ac:dyDescent="0.25">
      <c r="A140">
        <v>8003879954</v>
      </c>
      <c r="B140">
        <v>9</v>
      </c>
      <c r="C140">
        <v>16052017</v>
      </c>
      <c r="D140">
        <v>489</v>
      </c>
      <c r="E140" t="s">
        <v>31</v>
      </c>
      <c r="F140">
        <v>9938</v>
      </c>
      <c r="G140">
        <v>16662784</v>
      </c>
      <c r="H140" s="1">
        <v>0.1</v>
      </c>
      <c r="I140" t="s">
        <v>28</v>
      </c>
      <c r="J140" s="1">
        <v>689661.83</v>
      </c>
      <c r="K140" t="s">
        <v>26</v>
      </c>
      <c r="L140">
        <v>194932</v>
      </c>
      <c r="M140" t="str">
        <f>"PGTEFT2278"</f>
        <v>PGTEFT2278</v>
      </c>
      <c r="O140">
        <v>1</v>
      </c>
    </row>
    <row r="141" spans="1:17" hidden="1" x14ac:dyDescent="0.25">
      <c r="A141">
        <v>8003879954</v>
      </c>
      <c r="B141">
        <v>8</v>
      </c>
      <c r="C141">
        <v>16052017</v>
      </c>
      <c r="D141">
        <v>341</v>
      </c>
      <c r="E141" t="s">
        <v>29</v>
      </c>
      <c r="F141">
        <v>9938</v>
      </c>
      <c r="G141">
        <v>16664231</v>
      </c>
      <c r="H141" s="1">
        <v>4457.76</v>
      </c>
      <c r="I141" t="s">
        <v>28</v>
      </c>
      <c r="J141" s="1">
        <v>689661.93</v>
      </c>
      <c r="K141" t="s">
        <v>26</v>
      </c>
      <c r="L141">
        <v>194932</v>
      </c>
      <c r="M141" t="str">
        <f>"KUA JANICE TZE PHING"</f>
        <v>KUA JANICE TZE PHING</v>
      </c>
      <c r="O141">
        <v>1</v>
      </c>
      <c r="P141" t="str">
        <f>"PGTEFT2314"</f>
        <v>PGTEFT2314</v>
      </c>
      <c r="Q141" t="str">
        <f>"CLAIMS"</f>
        <v>CLAIMS</v>
      </c>
    </row>
    <row r="142" spans="1:17" x14ac:dyDescent="0.25">
      <c r="A142">
        <v>8003879954</v>
      </c>
      <c r="B142">
        <v>7</v>
      </c>
      <c r="C142">
        <v>16052017</v>
      </c>
      <c r="D142">
        <v>299</v>
      </c>
      <c r="E142" t="s">
        <v>30</v>
      </c>
      <c r="F142">
        <v>9938</v>
      </c>
      <c r="G142">
        <v>16664231</v>
      </c>
      <c r="H142" s="1">
        <v>0.01</v>
      </c>
      <c r="I142" t="s">
        <v>28</v>
      </c>
      <c r="J142" s="1">
        <v>694119.69</v>
      </c>
      <c r="K142" t="s">
        <v>26</v>
      </c>
      <c r="L142">
        <v>194932</v>
      </c>
      <c r="M142" t="str">
        <f>"PGTEFT2314          CLAIMS"</f>
        <v>PGTEFT2314          CLAIMS</v>
      </c>
      <c r="O142">
        <v>1</v>
      </c>
    </row>
    <row r="143" spans="1:17" hidden="1" x14ac:dyDescent="0.25">
      <c r="A143">
        <v>8003879954</v>
      </c>
      <c r="B143">
        <v>6</v>
      </c>
      <c r="C143">
        <v>16052017</v>
      </c>
      <c r="D143">
        <v>489</v>
      </c>
      <c r="E143" t="s">
        <v>31</v>
      </c>
      <c r="F143">
        <v>9938</v>
      </c>
      <c r="G143">
        <v>16664231</v>
      </c>
      <c r="H143" s="1">
        <v>0.1</v>
      </c>
      <c r="I143" t="s">
        <v>28</v>
      </c>
      <c r="J143" s="1">
        <v>694119.7</v>
      </c>
      <c r="K143" t="s">
        <v>26</v>
      </c>
      <c r="L143">
        <v>194932</v>
      </c>
      <c r="M143" t="str">
        <f>"PGTEFT2314          CLAIMS"</f>
        <v>PGTEFT2314          CLAIMS</v>
      </c>
      <c r="O143">
        <v>1</v>
      </c>
    </row>
    <row r="144" spans="1:17" hidden="1" x14ac:dyDescent="0.25">
      <c r="A144">
        <v>8003879954</v>
      </c>
      <c r="B144">
        <v>5</v>
      </c>
      <c r="C144">
        <v>16052017</v>
      </c>
      <c r="D144">
        <v>341</v>
      </c>
      <c r="E144" t="s">
        <v>29</v>
      </c>
      <c r="F144">
        <v>9938</v>
      </c>
      <c r="G144">
        <v>16662970</v>
      </c>
      <c r="H144" s="1">
        <v>4323.3999999999996</v>
      </c>
      <c r="I144" t="s">
        <v>28</v>
      </c>
      <c r="J144" s="1">
        <v>694119.8</v>
      </c>
      <c r="K144" t="s">
        <v>26</v>
      </c>
      <c r="L144">
        <v>194932</v>
      </c>
      <c r="M144" t="str">
        <f>"DHL EXPRESS (MALAYSI"</f>
        <v>DHL EXPRESS (MALAYSI</v>
      </c>
      <c r="O144">
        <v>1</v>
      </c>
      <c r="P144" t="str">
        <f>"PGTEFT2276"</f>
        <v>PGTEFT2276</v>
      </c>
      <c r="Q144" t="str">
        <f>"ACC550390703"</f>
        <v>ACC550390703</v>
      </c>
    </row>
    <row r="145" spans="1:18" x14ac:dyDescent="0.25">
      <c r="A145">
        <v>8003879954</v>
      </c>
      <c r="B145">
        <v>4</v>
      </c>
      <c r="C145">
        <v>16052017</v>
      </c>
      <c r="D145">
        <v>299</v>
      </c>
      <c r="E145" t="s">
        <v>30</v>
      </c>
      <c r="F145">
        <v>9938</v>
      </c>
      <c r="G145">
        <v>16662970</v>
      </c>
      <c r="H145" s="1">
        <v>0.01</v>
      </c>
      <c r="I145" t="s">
        <v>28</v>
      </c>
      <c r="J145" s="1">
        <v>698443.2</v>
      </c>
      <c r="K145" t="s">
        <v>26</v>
      </c>
      <c r="L145">
        <v>194932</v>
      </c>
      <c r="M145" t="str">
        <f>"PGTEFT2276          ACC550390703"</f>
        <v>PGTEFT2276          ACC550390703</v>
      </c>
      <c r="O145">
        <v>1</v>
      </c>
    </row>
    <row r="146" spans="1:18" hidden="1" x14ac:dyDescent="0.25">
      <c r="A146">
        <v>8003879954</v>
      </c>
      <c r="B146">
        <v>3</v>
      </c>
      <c r="C146">
        <v>16052017</v>
      </c>
      <c r="D146">
        <v>489</v>
      </c>
      <c r="E146" t="s">
        <v>31</v>
      </c>
      <c r="F146">
        <v>9938</v>
      </c>
      <c r="G146">
        <v>16662970</v>
      </c>
      <c r="H146" s="1">
        <v>0.1</v>
      </c>
      <c r="I146" t="s">
        <v>28</v>
      </c>
      <c r="J146" s="1">
        <v>698443.21</v>
      </c>
      <c r="K146" t="s">
        <v>26</v>
      </c>
      <c r="L146">
        <v>194932</v>
      </c>
      <c r="M146" t="str">
        <f>"PGTEFT2276          ACC550390703"</f>
        <v>PGTEFT2276          ACC550390703</v>
      </c>
      <c r="O146">
        <v>1</v>
      </c>
    </row>
    <row r="147" spans="1:18" hidden="1" x14ac:dyDescent="0.25">
      <c r="A147">
        <v>8003879954</v>
      </c>
      <c r="B147">
        <v>2</v>
      </c>
      <c r="C147">
        <v>16052017</v>
      </c>
      <c r="D147">
        <v>60</v>
      </c>
      <c r="E147" t="s">
        <v>43</v>
      </c>
      <c r="F147">
        <v>9938</v>
      </c>
      <c r="G147">
        <v>16663392</v>
      </c>
      <c r="H147" s="1">
        <v>3150</v>
      </c>
      <c r="I147" t="s">
        <v>28</v>
      </c>
      <c r="J147" s="1">
        <v>698443.31</v>
      </c>
      <c r="K147" t="s">
        <v>26</v>
      </c>
      <c r="L147">
        <v>194931</v>
      </c>
      <c r="M147" t="str">
        <f>"D001162 BUTTERFLY HOUSE (PG"</f>
        <v>D001162 BUTTERFLY HOUSE (PG</v>
      </c>
      <c r="O147">
        <v>1</v>
      </c>
      <c r="P147" t="str">
        <f>"PGTEFT2272"</f>
        <v>PGTEFT2272</v>
      </c>
      <c r="Q147" t="str">
        <f>"D001037 D001109"</f>
        <v>D001037 D001109</v>
      </c>
    </row>
    <row r="148" spans="1:18" hidden="1" x14ac:dyDescent="0.25">
      <c r="A148">
        <v>8003879954</v>
      </c>
      <c r="B148">
        <v>1</v>
      </c>
      <c r="C148">
        <v>16052017</v>
      </c>
      <c r="D148">
        <v>349</v>
      </c>
      <c r="E148" t="s">
        <v>35</v>
      </c>
      <c r="F148">
        <v>72</v>
      </c>
      <c r="G148">
        <v>214278608</v>
      </c>
      <c r="H148" s="1">
        <v>170719.69</v>
      </c>
      <c r="I148" t="s">
        <v>28</v>
      </c>
      <c r="J148" s="1">
        <v>701593.31</v>
      </c>
      <c r="K148" t="s">
        <v>26</v>
      </c>
      <c r="L148">
        <v>125415</v>
      </c>
      <c r="M148" t="str">
        <f>"20008160517T0086    /CHINAPAY/"</f>
        <v>20008160517T0086    /CHINAPAY/</v>
      </c>
      <c r="O148">
        <v>1</v>
      </c>
    </row>
    <row r="149" spans="1:18" hidden="1" x14ac:dyDescent="0.25">
      <c r="A149">
        <v>8003879954</v>
      </c>
      <c r="B149">
        <v>2</v>
      </c>
      <c r="C149">
        <v>15052017</v>
      </c>
      <c r="D149">
        <v>5</v>
      </c>
      <c r="E149" t="s">
        <v>42</v>
      </c>
      <c r="H149" s="1">
        <v>700000</v>
      </c>
      <c r="I149" t="s">
        <v>26</v>
      </c>
      <c r="J149" s="1">
        <v>872313</v>
      </c>
      <c r="K149" t="s">
        <v>26</v>
      </c>
      <c r="L149">
        <v>164839</v>
      </c>
      <c r="M149" t="str">
        <f>"/ROC/KLMP0015795 RHB ASSET MANAGEMENT SD"</f>
        <v>/ROC/KLMP0015795 RHB ASSET MANAGEMENT SD</v>
      </c>
      <c r="O149">
        <v>1</v>
      </c>
      <c r="P149" t="str">
        <f>"KLMP0015795"</f>
        <v>KLMP0015795</v>
      </c>
      <c r="Q149" t="str">
        <f>"RESIDENT"</f>
        <v>RESIDENT</v>
      </c>
      <c r="R149" t="str">
        <f>"RHB ASSET MANAGEMENT"</f>
        <v>RHB ASSET MANAGEMENT</v>
      </c>
    </row>
    <row r="150" spans="1:18" hidden="1" x14ac:dyDescent="0.25">
      <c r="A150">
        <v>8003879954</v>
      </c>
      <c r="B150">
        <v>1</v>
      </c>
      <c r="C150">
        <v>15052017</v>
      </c>
      <c r="D150">
        <v>141</v>
      </c>
      <c r="E150" t="s">
        <v>36</v>
      </c>
      <c r="F150">
        <v>4529</v>
      </c>
      <c r="G150">
        <v>18245</v>
      </c>
      <c r="H150" s="1">
        <v>687.16</v>
      </c>
      <c r="I150" t="s">
        <v>26</v>
      </c>
      <c r="J150" s="1">
        <v>172313</v>
      </c>
      <c r="K150" t="s">
        <v>26</v>
      </c>
      <c r="L150">
        <v>112314</v>
      </c>
      <c r="M150" t="str">
        <f>""</f>
        <v/>
      </c>
      <c r="O150">
        <v>1</v>
      </c>
      <c r="P150" t="str">
        <f>"PIFF statement claim"</f>
        <v>PIFF statement claim</v>
      </c>
      <c r="Q150" t="str">
        <f>"refund"</f>
        <v>refund</v>
      </c>
      <c r="R150" t="str">
        <f>"NG SEE LOK"</f>
        <v>NG SEE LOK</v>
      </c>
    </row>
    <row r="151" spans="1:18" x14ac:dyDescent="0.25">
      <c r="A151">
        <v>8003879954</v>
      </c>
      <c r="B151">
        <v>9</v>
      </c>
      <c r="C151">
        <v>12052017</v>
      </c>
      <c r="D151">
        <v>299</v>
      </c>
      <c r="E151" t="s">
        <v>30</v>
      </c>
      <c r="H151" s="1">
        <v>0.03</v>
      </c>
      <c r="I151" t="s">
        <v>28</v>
      </c>
      <c r="J151" s="1">
        <v>171625.84</v>
      </c>
      <c r="K151" t="s">
        <v>26</v>
      </c>
      <c r="L151">
        <v>14346</v>
      </c>
      <c r="M151" t="str">
        <f>""</f>
        <v/>
      </c>
      <c r="O151">
        <v>1</v>
      </c>
    </row>
    <row r="152" spans="1:18" hidden="1" x14ac:dyDescent="0.25">
      <c r="A152">
        <v>8003879954</v>
      </c>
      <c r="B152">
        <v>8</v>
      </c>
      <c r="C152">
        <v>12052017</v>
      </c>
      <c r="D152">
        <v>819</v>
      </c>
      <c r="E152" t="s">
        <v>32</v>
      </c>
      <c r="H152" s="1">
        <v>0.5</v>
      </c>
      <c r="I152" t="s">
        <v>28</v>
      </c>
      <c r="J152" s="1">
        <v>171625.87</v>
      </c>
      <c r="K152" t="s">
        <v>26</v>
      </c>
      <c r="L152">
        <v>14346</v>
      </c>
      <c r="M152" t="str">
        <f>""</f>
        <v/>
      </c>
      <c r="O152">
        <v>1</v>
      </c>
    </row>
    <row r="153" spans="1:18" hidden="1" x14ac:dyDescent="0.25">
      <c r="A153">
        <v>8003879954</v>
      </c>
      <c r="B153">
        <v>7</v>
      </c>
      <c r="C153">
        <v>12052017</v>
      </c>
      <c r="D153">
        <v>323</v>
      </c>
      <c r="E153" t="s">
        <v>33</v>
      </c>
      <c r="F153">
        <v>0</v>
      </c>
      <c r="G153">
        <v>687934</v>
      </c>
      <c r="H153" s="1">
        <v>1517</v>
      </c>
      <c r="I153" t="s">
        <v>28</v>
      </c>
      <c r="J153" s="1">
        <v>171626.37</v>
      </c>
      <c r="K153" t="s">
        <v>26</v>
      </c>
      <c r="L153">
        <v>14250</v>
      </c>
      <c r="M153" t="str">
        <f>""</f>
        <v/>
      </c>
      <c r="O153">
        <v>1</v>
      </c>
    </row>
    <row r="154" spans="1:18" hidden="1" x14ac:dyDescent="0.25">
      <c r="A154">
        <v>8003879954</v>
      </c>
      <c r="B154">
        <v>6</v>
      </c>
      <c r="C154">
        <v>12052017</v>
      </c>
      <c r="D154">
        <v>299</v>
      </c>
      <c r="E154" t="s">
        <v>44</v>
      </c>
      <c r="F154">
        <v>141</v>
      </c>
      <c r="G154">
        <v>924420082</v>
      </c>
      <c r="H154" s="1">
        <v>0.36</v>
      </c>
      <c r="I154" t="s">
        <v>28</v>
      </c>
      <c r="J154" s="1">
        <v>173143.37</v>
      </c>
      <c r="K154" t="s">
        <v>26</v>
      </c>
      <c r="L154">
        <v>120638</v>
      </c>
      <c r="M154" t="str">
        <f>"20015120517T0181"</f>
        <v>20015120517T0181</v>
      </c>
      <c r="O154">
        <v>1</v>
      </c>
    </row>
    <row r="155" spans="1:18" hidden="1" x14ac:dyDescent="0.25">
      <c r="A155">
        <v>8003879954</v>
      </c>
      <c r="B155">
        <v>5</v>
      </c>
      <c r="C155">
        <v>12052017</v>
      </c>
      <c r="D155">
        <v>415</v>
      </c>
      <c r="E155" t="s">
        <v>146</v>
      </c>
      <c r="F155">
        <v>141</v>
      </c>
      <c r="G155">
        <v>924420082</v>
      </c>
      <c r="H155" s="1">
        <v>6</v>
      </c>
      <c r="I155" t="s">
        <v>28</v>
      </c>
      <c r="J155" s="1">
        <v>173143.73</v>
      </c>
      <c r="K155" t="s">
        <v>26</v>
      </c>
      <c r="L155">
        <v>120638</v>
      </c>
      <c r="M155" t="str">
        <f>"20015120517T0181"</f>
        <v>20015120517T0181</v>
      </c>
      <c r="O155">
        <v>1</v>
      </c>
    </row>
    <row r="156" spans="1:18" hidden="1" x14ac:dyDescent="0.25">
      <c r="A156">
        <v>8003879954</v>
      </c>
      <c r="B156">
        <v>4</v>
      </c>
      <c r="C156">
        <v>12052017</v>
      </c>
      <c r="D156">
        <v>349</v>
      </c>
      <c r="E156" t="s">
        <v>35</v>
      </c>
      <c r="F156">
        <v>141</v>
      </c>
      <c r="G156">
        <v>924420082</v>
      </c>
      <c r="H156" s="1">
        <v>1538.02</v>
      </c>
      <c r="I156" t="s">
        <v>28</v>
      </c>
      <c r="J156" s="1">
        <v>173149.73</v>
      </c>
      <c r="K156" t="s">
        <v>26</v>
      </c>
      <c r="L156">
        <v>120638</v>
      </c>
      <c r="M156" t="str">
        <f>"20015120517T0181"</f>
        <v>20015120517T0181</v>
      </c>
      <c r="O156">
        <v>1</v>
      </c>
    </row>
    <row r="157" spans="1:18" hidden="1" x14ac:dyDescent="0.25">
      <c r="A157">
        <v>8003879954</v>
      </c>
      <c r="B157">
        <v>3</v>
      </c>
      <c r="C157">
        <v>12052017</v>
      </c>
      <c r="D157">
        <v>341</v>
      </c>
      <c r="E157" t="s">
        <v>29</v>
      </c>
      <c r="F157">
        <v>9938</v>
      </c>
      <c r="G157">
        <v>16503380</v>
      </c>
      <c r="H157" s="1">
        <v>5160</v>
      </c>
      <c r="I157" t="s">
        <v>28</v>
      </c>
      <c r="J157" s="1">
        <v>174687.75</v>
      </c>
      <c r="K157" t="s">
        <v>26</v>
      </c>
      <c r="L157">
        <v>80616</v>
      </c>
      <c r="M157" t="str">
        <f>"THE NOMAD HOTEL PENA"</f>
        <v>THE NOMAD HOTEL PENA</v>
      </c>
      <c r="O157">
        <v>1</v>
      </c>
      <c r="P157" t="str">
        <f>"PGTEFT2271"</f>
        <v>PGTEFT2271</v>
      </c>
      <c r="Q157" t="str">
        <f>"PROFORMA INV"</f>
        <v>PROFORMA INV</v>
      </c>
    </row>
    <row r="158" spans="1:18" x14ac:dyDescent="0.25">
      <c r="A158">
        <v>8003879954</v>
      </c>
      <c r="B158">
        <v>2</v>
      </c>
      <c r="C158">
        <v>12052017</v>
      </c>
      <c r="D158">
        <v>299</v>
      </c>
      <c r="E158" t="s">
        <v>30</v>
      </c>
      <c r="F158">
        <v>9938</v>
      </c>
      <c r="G158">
        <v>16503380</v>
      </c>
      <c r="H158" s="1">
        <v>0.01</v>
      </c>
      <c r="I158" t="s">
        <v>28</v>
      </c>
      <c r="J158" s="1">
        <v>179847.75</v>
      </c>
      <c r="K158" t="s">
        <v>26</v>
      </c>
      <c r="L158">
        <v>80616</v>
      </c>
      <c r="M158" t="str">
        <f>"PGTEFT2271          PROFORMA INV"</f>
        <v>PGTEFT2271          PROFORMA INV</v>
      </c>
      <c r="O158">
        <v>1</v>
      </c>
    </row>
    <row r="159" spans="1:18" hidden="1" x14ac:dyDescent="0.25">
      <c r="A159">
        <v>8003879954</v>
      </c>
      <c r="B159">
        <v>1</v>
      </c>
      <c r="C159">
        <v>12052017</v>
      </c>
      <c r="D159">
        <v>489</v>
      </c>
      <c r="E159" t="s">
        <v>31</v>
      </c>
      <c r="F159">
        <v>9938</v>
      </c>
      <c r="G159">
        <v>16503380</v>
      </c>
      <c r="H159" s="1">
        <v>0.1</v>
      </c>
      <c r="I159" t="s">
        <v>28</v>
      </c>
      <c r="J159" s="1">
        <v>179847.76</v>
      </c>
      <c r="K159" t="s">
        <v>26</v>
      </c>
      <c r="L159">
        <v>80616</v>
      </c>
      <c r="M159" t="str">
        <f>"PGTEFT2271          PROFORMA INV"</f>
        <v>PGTEFT2271          PROFORMA INV</v>
      </c>
      <c r="O159">
        <v>1</v>
      </c>
    </row>
    <row r="160" spans="1:18" x14ac:dyDescent="0.25">
      <c r="A160">
        <v>8003879954</v>
      </c>
      <c r="B160">
        <v>3</v>
      </c>
      <c r="C160">
        <v>11052017</v>
      </c>
      <c r="D160">
        <v>299</v>
      </c>
      <c r="E160" t="s">
        <v>30</v>
      </c>
      <c r="H160" s="1">
        <v>0.03</v>
      </c>
      <c r="I160" t="s">
        <v>28</v>
      </c>
      <c r="J160" s="1">
        <v>179847.86</v>
      </c>
      <c r="K160" t="s">
        <v>26</v>
      </c>
      <c r="L160" s="1">
        <v>10109</v>
      </c>
      <c r="M160" t="s">
        <v>53</v>
      </c>
      <c r="O160">
        <v>1</v>
      </c>
    </row>
    <row r="161" spans="1:18" hidden="1" x14ac:dyDescent="0.25">
      <c r="A161">
        <v>8003879954</v>
      </c>
      <c r="B161">
        <v>2</v>
      </c>
      <c r="C161">
        <v>11052017</v>
      </c>
      <c r="D161">
        <v>819</v>
      </c>
      <c r="E161" t="s">
        <v>32</v>
      </c>
      <c r="H161" s="1">
        <v>0.5</v>
      </c>
      <c r="I161" t="s">
        <v>28</v>
      </c>
      <c r="J161" s="1">
        <v>179847.89</v>
      </c>
      <c r="K161" t="s">
        <v>26</v>
      </c>
      <c r="L161" s="1">
        <v>10109</v>
      </c>
      <c r="M161" t="s">
        <v>53</v>
      </c>
      <c r="O161">
        <v>1</v>
      </c>
    </row>
    <row r="162" spans="1:18" hidden="1" x14ac:dyDescent="0.25">
      <c r="A162">
        <v>8003879954</v>
      </c>
      <c r="B162">
        <v>1</v>
      </c>
      <c r="C162">
        <v>11052017</v>
      </c>
      <c r="D162">
        <v>321</v>
      </c>
      <c r="E162" t="s">
        <v>37</v>
      </c>
      <c r="F162">
        <v>0</v>
      </c>
      <c r="G162">
        <v>687935</v>
      </c>
      <c r="H162" s="1">
        <v>3987.5</v>
      </c>
      <c r="I162" t="s">
        <v>28</v>
      </c>
      <c r="J162" s="1">
        <v>179848.39</v>
      </c>
      <c r="K162" t="s">
        <v>26</v>
      </c>
      <c r="L162" s="1">
        <v>10011</v>
      </c>
      <c r="M162" t="s">
        <v>53</v>
      </c>
      <c r="O162">
        <v>1</v>
      </c>
    </row>
    <row r="163" spans="1:18" x14ac:dyDescent="0.25">
      <c r="A163">
        <v>8003879954</v>
      </c>
      <c r="B163">
        <v>3</v>
      </c>
      <c r="C163">
        <v>9052017</v>
      </c>
      <c r="D163">
        <v>299</v>
      </c>
      <c r="E163" t="s">
        <v>30</v>
      </c>
      <c r="H163" s="1">
        <v>0.03</v>
      </c>
      <c r="I163" t="s">
        <v>28</v>
      </c>
      <c r="J163" s="1">
        <v>183835.89</v>
      </c>
      <c r="K163" t="s">
        <v>26</v>
      </c>
      <c r="L163" s="1">
        <v>10034</v>
      </c>
      <c r="M163" t="s">
        <v>53</v>
      </c>
      <c r="O163">
        <v>1</v>
      </c>
    </row>
    <row r="164" spans="1:18" hidden="1" x14ac:dyDescent="0.25">
      <c r="A164">
        <v>8003879954</v>
      </c>
      <c r="B164">
        <v>2</v>
      </c>
      <c r="C164">
        <v>9052017</v>
      </c>
      <c r="D164">
        <v>819</v>
      </c>
      <c r="E164" t="s">
        <v>32</v>
      </c>
      <c r="H164" s="1">
        <v>0.5</v>
      </c>
      <c r="I164" t="s">
        <v>28</v>
      </c>
      <c r="J164" s="1">
        <v>183835.92</v>
      </c>
      <c r="K164" t="s">
        <v>26</v>
      </c>
      <c r="L164" s="1">
        <v>10034</v>
      </c>
      <c r="M164" t="s">
        <v>53</v>
      </c>
      <c r="O164">
        <v>1</v>
      </c>
    </row>
    <row r="165" spans="1:18" hidden="1" x14ac:dyDescent="0.25">
      <c r="A165">
        <v>8003879954</v>
      </c>
      <c r="B165">
        <v>1</v>
      </c>
      <c r="C165">
        <v>9052017</v>
      </c>
      <c r="D165">
        <v>323</v>
      </c>
      <c r="E165" t="s">
        <v>33</v>
      </c>
      <c r="F165">
        <v>0</v>
      </c>
      <c r="G165">
        <v>687933</v>
      </c>
      <c r="H165" s="1">
        <v>20900</v>
      </c>
      <c r="I165" t="s">
        <v>28</v>
      </c>
      <c r="J165" s="1">
        <v>183836.42</v>
      </c>
      <c r="K165" t="s">
        <v>26</v>
      </c>
      <c r="L165" s="1">
        <v>5829</v>
      </c>
      <c r="M165" t="s">
        <v>53</v>
      </c>
      <c r="O165">
        <v>1</v>
      </c>
    </row>
    <row r="166" spans="1:18" hidden="1" x14ac:dyDescent="0.25">
      <c r="A166">
        <v>8003879954</v>
      </c>
      <c r="B166">
        <v>3</v>
      </c>
      <c r="C166">
        <v>8052017</v>
      </c>
      <c r="D166">
        <v>341</v>
      </c>
      <c r="E166" t="s">
        <v>29</v>
      </c>
      <c r="F166">
        <v>9938</v>
      </c>
      <c r="G166">
        <v>16383385</v>
      </c>
      <c r="H166" s="1">
        <v>2500</v>
      </c>
      <c r="I166" t="s">
        <v>28</v>
      </c>
      <c r="J166" s="1">
        <v>204736.42</v>
      </c>
      <c r="K166" t="s">
        <v>26</v>
      </c>
      <c r="L166" s="1">
        <v>190624</v>
      </c>
      <c r="M166" t="s">
        <v>139</v>
      </c>
      <c r="O166">
        <v>1</v>
      </c>
      <c r="P166" t="s">
        <v>140</v>
      </c>
      <c r="Q166" t="s">
        <v>141</v>
      </c>
    </row>
    <row r="167" spans="1:18" x14ac:dyDescent="0.25">
      <c r="A167">
        <v>8003879954</v>
      </c>
      <c r="B167">
        <v>2</v>
      </c>
      <c r="C167">
        <v>8052017</v>
      </c>
      <c r="D167">
        <v>299</v>
      </c>
      <c r="E167" t="s">
        <v>30</v>
      </c>
      <c r="F167">
        <v>9938</v>
      </c>
      <c r="G167">
        <v>16383385</v>
      </c>
      <c r="H167" s="1">
        <v>0.01</v>
      </c>
      <c r="I167" t="s">
        <v>28</v>
      </c>
      <c r="J167" s="1">
        <v>207236.42</v>
      </c>
      <c r="K167" t="s">
        <v>26</v>
      </c>
      <c r="L167" s="1">
        <v>190624</v>
      </c>
      <c r="M167" t="s">
        <v>142</v>
      </c>
      <c r="O167">
        <v>1</v>
      </c>
    </row>
    <row r="168" spans="1:18" hidden="1" x14ac:dyDescent="0.25">
      <c r="A168">
        <v>8003879954</v>
      </c>
      <c r="B168">
        <v>1</v>
      </c>
      <c r="C168">
        <v>8052017</v>
      </c>
      <c r="D168">
        <v>489</v>
      </c>
      <c r="E168" t="s">
        <v>31</v>
      </c>
      <c r="F168">
        <v>9938</v>
      </c>
      <c r="G168">
        <v>16383385</v>
      </c>
      <c r="H168" s="1">
        <v>0.1</v>
      </c>
      <c r="I168" t="s">
        <v>28</v>
      </c>
      <c r="J168" s="1">
        <v>207236.43</v>
      </c>
      <c r="K168" t="s">
        <v>26</v>
      </c>
      <c r="L168" s="1">
        <v>190624</v>
      </c>
      <c r="M168" t="s">
        <v>142</v>
      </c>
      <c r="O168">
        <v>1</v>
      </c>
    </row>
    <row r="169" spans="1:18" x14ac:dyDescent="0.25">
      <c r="A169">
        <v>8003879954</v>
      </c>
      <c r="B169">
        <v>8</v>
      </c>
      <c r="C169">
        <v>5052017</v>
      </c>
      <c r="D169">
        <v>299</v>
      </c>
      <c r="E169" t="s">
        <v>30</v>
      </c>
      <c r="H169" s="1">
        <v>0.06</v>
      </c>
      <c r="I169" t="s">
        <v>28</v>
      </c>
      <c r="J169" s="1">
        <v>207236.53</v>
      </c>
      <c r="K169" t="s">
        <v>26</v>
      </c>
      <c r="L169" s="1">
        <v>10510</v>
      </c>
      <c r="M169" t="s">
        <v>53</v>
      </c>
      <c r="O169">
        <v>1</v>
      </c>
    </row>
    <row r="170" spans="1:18" hidden="1" x14ac:dyDescent="0.25">
      <c r="A170">
        <v>8003879954</v>
      </c>
      <c r="B170">
        <v>7</v>
      </c>
      <c r="C170">
        <v>5052017</v>
      </c>
      <c r="D170">
        <v>819</v>
      </c>
      <c r="E170" t="s">
        <v>32</v>
      </c>
      <c r="H170" s="1">
        <v>1</v>
      </c>
      <c r="I170" t="s">
        <v>28</v>
      </c>
      <c r="J170" s="1">
        <v>207236.59</v>
      </c>
      <c r="K170" t="s">
        <v>26</v>
      </c>
      <c r="L170" s="1">
        <v>10510</v>
      </c>
      <c r="M170" t="s">
        <v>53</v>
      </c>
      <c r="O170">
        <v>1</v>
      </c>
    </row>
    <row r="171" spans="1:18" x14ac:dyDescent="0.25">
      <c r="A171">
        <v>8003879954</v>
      </c>
      <c r="B171">
        <v>6</v>
      </c>
      <c r="C171">
        <v>5052017</v>
      </c>
      <c r="D171">
        <v>299</v>
      </c>
      <c r="E171" t="s">
        <v>30</v>
      </c>
      <c r="H171" s="1">
        <v>0.03</v>
      </c>
      <c r="I171" t="s">
        <v>28</v>
      </c>
      <c r="J171" s="1">
        <v>207237.59</v>
      </c>
      <c r="K171" t="s">
        <v>26</v>
      </c>
      <c r="L171" s="1">
        <v>10510</v>
      </c>
      <c r="M171" t="s">
        <v>53</v>
      </c>
      <c r="O171">
        <v>1</v>
      </c>
    </row>
    <row r="172" spans="1:18" hidden="1" x14ac:dyDescent="0.25">
      <c r="A172">
        <v>8003879954</v>
      </c>
      <c r="B172">
        <v>5</v>
      </c>
      <c r="C172">
        <v>5052017</v>
      </c>
      <c r="D172">
        <v>819</v>
      </c>
      <c r="E172" t="s">
        <v>32</v>
      </c>
      <c r="H172" s="1">
        <v>0.5</v>
      </c>
      <c r="I172" t="s">
        <v>28</v>
      </c>
      <c r="J172" s="1">
        <v>207237.62</v>
      </c>
      <c r="K172" t="s">
        <v>26</v>
      </c>
      <c r="L172" s="1">
        <v>10510</v>
      </c>
      <c r="M172" t="s">
        <v>53</v>
      </c>
      <c r="O172">
        <v>1</v>
      </c>
    </row>
    <row r="173" spans="1:18" hidden="1" x14ac:dyDescent="0.25">
      <c r="A173">
        <v>8003879954</v>
      </c>
      <c r="B173">
        <v>4</v>
      </c>
      <c r="C173">
        <v>5052017</v>
      </c>
      <c r="D173">
        <v>321</v>
      </c>
      <c r="E173" t="s">
        <v>37</v>
      </c>
      <c r="F173">
        <v>0</v>
      </c>
      <c r="G173">
        <v>687941</v>
      </c>
      <c r="H173" s="1">
        <v>890.5</v>
      </c>
      <c r="I173" t="s">
        <v>28</v>
      </c>
      <c r="J173" s="1">
        <v>207238.12</v>
      </c>
      <c r="K173" t="s">
        <v>26</v>
      </c>
      <c r="L173" s="1">
        <v>10328</v>
      </c>
      <c r="M173" t="s">
        <v>53</v>
      </c>
      <c r="O173">
        <v>1</v>
      </c>
    </row>
    <row r="174" spans="1:18" hidden="1" x14ac:dyDescent="0.25">
      <c r="A174">
        <v>8003879954</v>
      </c>
      <c r="B174">
        <v>3</v>
      </c>
      <c r="C174">
        <v>5052017</v>
      </c>
      <c r="D174">
        <v>323</v>
      </c>
      <c r="E174" t="s">
        <v>33</v>
      </c>
      <c r="F174">
        <v>0</v>
      </c>
      <c r="G174">
        <v>687939</v>
      </c>
      <c r="H174" s="1">
        <v>10667.84</v>
      </c>
      <c r="I174" t="s">
        <v>28</v>
      </c>
      <c r="J174" s="1">
        <v>208128.62</v>
      </c>
      <c r="K174" t="s">
        <v>26</v>
      </c>
      <c r="L174" s="1">
        <v>10328</v>
      </c>
      <c r="M174" t="s">
        <v>53</v>
      </c>
      <c r="O174">
        <v>1</v>
      </c>
    </row>
    <row r="175" spans="1:18" hidden="1" x14ac:dyDescent="0.25">
      <c r="A175">
        <v>8003879954</v>
      </c>
      <c r="B175">
        <v>2</v>
      </c>
      <c r="C175">
        <v>5052017</v>
      </c>
      <c r="D175">
        <v>321</v>
      </c>
      <c r="E175" t="s">
        <v>37</v>
      </c>
      <c r="F175">
        <v>0</v>
      </c>
      <c r="G175">
        <v>687938</v>
      </c>
      <c r="H175" s="1">
        <v>495.5</v>
      </c>
      <c r="I175" t="s">
        <v>28</v>
      </c>
      <c r="J175" s="1">
        <v>218796.46</v>
      </c>
      <c r="K175" t="s">
        <v>26</v>
      </c>
      <c r="L175" s="1">
        <v>10328</v>
      </c>
      <c r="M175" t="s">
        <v>53</v>
      </c>
      <c r="O175">
        <v>1</v>
      </c>
    </row>
    <row r="176" spans="1:18" hidden="1" x14ac:dyDescent="0.25">
      <c r="A176">
        <v>8003879954</v>
      </c>
      <c r="B176">
        <v>1</v>
      </c>
      <c r="C176">
        <v>5052017</v>
      </c>
      <c r="D176">
        <v>174</v>
      </c>
      <c r="E176" t="s">
        <v>39</v>
      </c>
      <c r="F176">
        <v>2001</v>
      </c>
      <c r="G176">
        <v>99290200</v>
      </c>
      <c r="H176" s="1">
        <v>5000</v>
      </c>
      <c r="I176" t="s">
        <v>26</v>
      </c>
      <c r="J176" s="1">
        <v>219291.96</v>
      </c>
      <c r="K176" t="s">
        <v>26</v>
      </c>
      <c r="L176" s="1">
        <v>101236</v>
      </c>
      <c r="M176" t="s">
        <v>143</v>
      </c>
      <c r="O176">
        <v>1</v>
      </c>
      <c r="P176" t="s">
        <v>143</v>
      </c>
      <c r="Q176" t="s">
        <v>144</v>
      </c>
      <c r="R176" t="s">
        <v>145</v>
      </c>
    </row>
    <row r="177" spans="1:18" x14ac:dyDescent="0.25">
      <c r="A177">
        <v>8003879954</v>
      </c>
      <c r="B177">
        <v>7</v>
      </c>
      <c r="C177">
        <v>4052017</v>
      </c>
      <c r="D177">
        <v>299</v>
      </c>
      <c r="E177" t="s">
        <v>30</v>
      </c>
      <c r="H177" s="1">
        <v>0.03</v>
      </c>
      <c r="I177" t="s">
        <v>28</v>
      </c>
      <c r="J177" s="1">
        <v>214291.96</v>
      </c>
      <c r="K177" t="s">
        <v>26</v>
      </c>
      <c r="L177" s="1">
        <v>10159</v>
      </c>
      <c r="M177" t="str">
        <f>""</f>
        <v/>
      </c>
      <c r="O177">
        <v>1</v>
      </c>
    </row>
    <row r="178" spans="1:18" hidden="1" x14ac:dyDescent="0.25">
      <c r="A178">
        <v>8003879954</v>
      </c>
      <c r="B178">
        <v>6</v>
      </c>
      <c r="C178">
        <v>4052017</v>
      </c>
      <c r="D178">
        <v>819</v>
      </c>
      <c r="E178" t="s">
        <v>32</v>
      </c>
      <c r="H178" s="1">
        <v>0.5</v>
      </c>
      <c r="I178" t="s">
        <v>28</v>
      </c>
      <c r="J178" s="1">
        <v>214291.99</v>
      </c>
      <c r="K178" t="s">
        <v>26</v>
      </c>
      <c r="L178" s="1">
        <v>10159</v>
      </c>
      <c r="M178" t="str">
        <f>""</f>
        <v/>
      </c>
      <c r="O178">
        <v>1</v>
      </c>
    </row>
    <row r="179" spans="1:18" hidden="1" x14ac:dyDescent="0.25">
      <c r="A179">
        <v>8003879954</v>
      </c>
      <c r="B179">
        <v>5</v>
      </c>
      <c r="C179">
        <v>4052017</v>
      </c>
      <c r="D179">
        <v>323</v>
      </c>
      <c r="E179" t="s">
        <v>33</v>
      </c>
      <c r="F179">
        <v>0</v>
      </c>
      <c r="G179">
        <v>687940</v>
      </c>
      <c r="H179" s="1">
        <v>170</v>
      </c>
      <c r="I179" t="s">
        <v>28</v>
      </c>
      <c r="J179" s="1">
        <v>214292.49</v>
      </c>
      <c r="K179" t="s">
        <v>26</v>
      </c>
      <c r="L179" s="1">
        <v>5938</v>
      </c>
      <c r="M179" t="str">
        <f>""</f>
        <v/>
      </c>
      <c r="O179">
        <v>1</v>
      </c>
    </row>
    <row r="180" spans="1:18" hidden="1" x14ac:dyDescent="0.25">
      <c r="A180">
        <v>8003879954</v>
      </c>
      <c r="B180">
        <v>4</v>
      </c>
      <c r="C180">
        <v>4052017</v>
      </c>
      <c r="D180">
        <v>174</v>
      </c>
      <c r="E180" t="s">
        <v>39</v>
      </c>
      <c r="F180">
        <v>2001</v>
      </c>
      <c r="G180">
        <v>99290200</v>
      </c>
      <c r="H180" s="1">
        <v>100</v>
      </c>
      <c r="I180" t="s">
        <v>26</v>
      </c>
      <c r="J180" s="1">
        <v>214462.49</v>
      </c>
      <c r="K180" t="s">
        <v>26</v>
      </c>
      <c r="L180" s="1">
        <v>221022</v>
      </c>
      <c r="M180" t="str">
        <f>"WeChat OA- Didadee"</f>
        <v>WeChat OA- Didadee</v>
      </c>
      <c r="O180">
        <v>1</v>
      </c>
      <c r="P180" t="str">
        <f>"WeChat OA- Didadee"</f>
        <v>WeChat OA- Didadee</v>
      </c>
      <c r="R180" t="str">
        <f>"LIM CHUN JIUN"</f>
        <v>LIM CHUN JIUN</v>
      </c>
    </row>
    <row r="181" spans="1:18" hidden="1" x14ac:dyDescent="0.25">
      <c r="A181">
        <v>8003879954</v>
      </c>
      <c r="B181">
        <v>3</v>
      </c>
      <c r="C181">
        <v>4052017</v>
      </c>
      <c r="D181">
        <v>341</v>
      </c>
      <c r="E181" t="s">
        <v>29</v>
      </c>
      <c r="F181">
        <v>9938</v>
      </c>
      <c r="G181">
        <v>16244793</v>
      </c>
      <c r="H181" s="1">
        <v>4309.87</v>
      </c>
      <c r="I181" t="s">
        <v>28</v>
      </c>
      <c r="J181" s="1">
        <v>214362.49</v>
      </c>
      <c r="K181" t="s">
        <v>26</v>
      </c>
      <c r="L181" s="1">
        <v>102332</v>
      </c>
      <c r="M181" t="str">
        <f>"KUA JANICE TZE PHING"</f>
        <v>KUA JANICE TZE PHING</v>
      </c>
      <c r="O181">
        <v>1</v>
      </c>
      <c r="P181" t="str">
        <f>"PGTEFT2269"</f>
        <v>PGTEFT2269</v>
      </c>
      <c r="Q181" t="str">
        <f>"CLAIMS AND ADVANCE"</f>
        <v>CLAIMS AND ADVANCE</v>
      </c>
    </row>
    <row r="182" spans="1:18" x14ac:dyDescent="0.25">
      <c r="A182">
        <v>8003879954</v>
      </c>
      <c r="B182">
        <v>2</v>
      </c>
      <c r="C182">
        <v>4052017</v>
      </c>
      <c r="D182">
        <v>299</v>
      </c>
      <c r="E182" t="s">
        <v>30</v>
      </c>
      <c r="F182">
        <v>9938</v>
      </c>
      <c r="G182">
        <v>16244793</v>
      </c>
      <c r="H182" s="1">
        <v>0.01</v>
      </c>
      <c r="I182" t="s">
        <v>28</v>
      </c>
      <c r="J182" s="1">
        <v>218672.36</v>
      </c>
      <c r="K182" t="s">
        <v>26</v>
      </c>
      <c r="L182" s="1">
        <v>102332</v>
      </c>
      <c r="M182" t="str">
        <f>"PGTEFT2269          CLAIMS AND ADVANCE"</f>
        <v>PGTEFT2269          CLAIMS AND ADVANCE</v>
      </c>
      <c r="O182">
        <v>1</v>
      </c>
    </row>
    <row r="183" spans="1:18" hidden="1" x14ac:dyDescent="0.25">
      <c r="A183">
        <v>8003879954</v>
      </c>
      <c r="B183">
        <v>1</v>
      </c>
      <c r="C183">
        <v>4052017</v>
      </c>
      <c r="D183">
        <v>489</v>
      </c>
      <c r="E183" t="s">
        <v>31</v>
      </c>
      <c r="F183">
        <v>9938</v>
      </c>
      <c r="G183">
        <v>16244793</v>
      </c>
      <c r="H183" s="1">
        <v>0.1</v>
      </c>
      <c r="I183" t="s">
        <v>28</v>
      </c>
      <c r="J183" s="1">
        <v>218672.37</v>
      </c>
      <c r="K183" t="s">
        <v>26</v>
      </c>
      <c r="L183" s="1">
        <v>102332</v>
      </c>
      <c r="M183" t="str">
        <f>"PGTEFT2269          CLAIMS AND ADVANCE"</f>
        <v>PGTEFT2269          CLAIMS AND ADVANCE</v>
      </c>
      <c r="O183">
        <v>1</v>
      </c>
    </row>
    <row r="184" spans="1:18" x14ac:dyDescent="0.25">
      <c r="A184">
        <v>8003879954</v>
      </c>
      <c r="B184">
        <v>28</v>
      </c>
      <c r="C184">
        <v>2052017</v>
      </c>
      <c r="D184">
        <v>299</v>
      </c>
      <c r="E184" t="s">
        <v>30</v>
      </c>
      <c r="H184" s="1">
        <v>0.03</v>
      </c>
      <c r="I184" t="s">
        <v>28</v>
      </c>
      <c r="J184" s="1">
        <v>218672.47</v>
      </c>
      <c r="K184" t="s">
        <v>26</v>
      </c>
      <c r="L184" s="1">
        <v>10749</v>
      </c>
      <c r="M184" t="str">
        <f>""</f>
        <v/>
      </c>
      <c r="O184">
        <v>1</v>
      </c>
    </row>
    <row r="185" spans="1:18" hidden="1" x14ac:dyDescent="0.25">
      <c r="A185">
        <v>8003879954</v>
      </c>
      <c r="B185">
        <v>27</v>
      </c>
      <c r="C185">
        <v>2052017</v>
      </c>
      <c r="D185">
        <v>819</v>
      </c>
      <c r="E185" t="s">
        <v>32</v>
      </c>
      <c r="H185" s="1">
        <v>0.5</v>
      </c>
      <c r="I185" t="s">
        <v>28</v>
      </c>
      <c r="J185" s="1">
        <v>218672.5</v>
      </c>
      <c r="K185" t="s">
        <v>26</v>
      </c>
      <c r="L185" s="1">
        <v>10749</v>
      </c>
      <c r="M185" t="str">
        <f>""</f>
        <v/>
      </c>
      <c r="O185">
        <v>1</v>
      </c>
    </row>
    <row r="186" spans="1:18" hidden="1" x14ac:dyDescent="0.25">
      <c r="A186">
        <v>8003879954</v>
      </c>
      <c r="B186">
        <v>26</v>
      </c>
      <c r="C186">
        <v>2052017</v>
      </c>
      <c r="D186">
        <v>321</v>
      </c>
      <c r="E186" t="s">
        <v>37</v>
      </c>
      <c r="F186">
        <v>0</v>
      </c>
      <c r="G186">
        <v>687929</v>
      </c>
      <c r="H186" s="1">
        <v>24380</v>
      </c>
      <c r="I186" t="s">
        <v>28</v>
      </c>
      <c r="J186" s="1">
        <v>218673</v>
      </c>
      <c r="K186" t="s">
        <v>26</v>
      </c>
      <c r="L186" s="1">
        <v>10609</v>
      </c>
      <c r="M186" t="str">
        <f>""</f>
        <v/>
      </c>
      <c r="O186">
        <v>1</v>
      </c>
    </row>
    <row r="187" spans="1:18" hidden="1" x14ac:dyDescent="0.25">
      <c r="A187">
        <v>8003879954</v>
      </c>
      <c r="B187">
        <v>25</v>
      </c>
      <c r="C187">
        <v>2052017</v>
      </c>
      <c r="D187">
        <v>341</v>
      </c>
      <c r="E187" t="s">
        <v>29</v>
      </c>
      <c r="F187">
        <v>9938</v>
      </c>
      <c r="G187">
        <v>16151996</v>
      </c>
      <c r="H187" s="1">
        <v>362.09</v>
      </c>
      <c r="I187" t="s">
        <v>28</v>
      </c>
      <c r="J187" s="1">
        <v>243053</v>
      </c>
      <c r="K187" t="s">
        <v>26</v>
      </c>
      <c r="L187" s="1">
        <v>154416</v>
      </c>
      <c r="M187" t="str">
        <f>"AKAUN PUNGUTAN POTON"</f>
        <v>AKAUN PUNGUTAN POTON</v>
      </c>
      <c r="O187">
        <v>1</v>
      </c>
      <c r="P187" t="str">
        <f>"PGTEFT2238"</f>
        <v>PGTEFT2238</v>
      </c>
      <c r="Q187" t="str">
        <f>"PTPTN LOAN"</f>
        <v>PTPTN LOAN</v>
      </c>
    </row>
    <row r="188" spans="1:18" x14ac:dyDescent="0.25">
      <c r="A188">
        <v>8003879954</v>
      </c>
      <c r="B188">
        <v>24</v>
      </c>
      <c r="C188">
        <v>2052017</v>
      </c>
      <c r="D188">
        <v>299</v>
      </c>
      <c r="E188" t="s">
        <v>30</v>
      </c>
      <c r="F188">
        <v>9938</v>
      </c>
      <c r="G188">
        <v>16151996</v>
      </c>
      <c r="H188" s="1">
        <v>0.01</v>
      </c>
      <c r="I188" t="s">
        <v>28</v>
      </c>
      <c r="J188" s="1">
        <v>243415.09</v>
      </c>
      <c r="K188" t="s">
        <v>26</v>
      </c>
      <c r="L188" s="1">
        <v>154416</v>
      </c>
      <c r="M188" t="str">
        <f>"PGTEFT2238          PTPTN LOAN"</f>
        <v>PGTEFT2238          PTPTN LOAN</v>
      </c>
      <c r="O188">
        <v>1</v>
      </c>
    </row>
    <row r="189" spans="1:18" hidden="1" x14ac:dyDescent="0.25">
      <c r="A189">
        <v>8003879954</v>
      </c>
      <c r="B189">
        <v>23</v>
      </c>
      <c r="C189">
        <v>2052017</v>
      </c>
      <c r="D189">
        <v>489</v>
      </c>
      <c r="E189" t="s">
        <v>31</v>
      </c>
      <c r="F189">
        <v>9938</v>
      </c>
      <c r="G189">
        <v>16151996</v>
      </c>
      <c r="H189" s="1">
        <v>0.1</v>
      </c>
      <c r="I189" t="s">
        <v>28</v>
      </c>
      <c r="J189" s="1">
        <v>243415.1</v>
      </c>
      <c r="K189" t="s">
        <v>26</v>
      </c>
      <c r="L189" s="1">
        <v>154416</v>
      </c>
      <c r="M189" t="str">
        <f>"PGTEFT2238          PTPTN LOAN"</f>
        <v>PGTEFT2238          PTPTN LOAN</v>
      </c>
      <c r="O189">
        <v>1</v>
      </c>
    </row>
    <row r="190" spans="1:18" hidden="1" x14ac:dyDescent="0.25">
      <c r="A190">
        <v>8003879954</v>
      </c>
      <c r="B190">
        <v>22</v>
      </c>
      <c r="C190">
        <v>2052017</v>
      </c>
      <c r="D190">
        <v>60</v>
      </c>
      <c r="E190" t="s">
        <v>43</v>
      </c>
      <c r="F190">
        <v>9938</v>
      </c>
      <c r="G190">
        <v>16153067</v>
      </c>
      <c r="H190" s="1">
        <v>950</v>
      </c>
      <c r="I190" t="s">
        <v>28</v>
      </c>
      <c r="J190" s="1">
        <v>243415.2</v>
      </c>
      <c r="K190" t="s">
        <v>26</v>
      </c>
      <c r="L190" s="1">
        <v>154339</v>
      </c>
      <c r="M190" t="str">
        <f>"LIM HOOI LENG"</f>
        <v>LIM HOOI LENG</v>
      </c>
      <c r="O190">
        <v>1</v>
      </c>
      <c r="P190" t="str">
        <f>"PGTEFT2264"</f>
        <v>PGTEFT2264</v>
      </c>
      <c r="Q190" t="str">
        <f>"CAR MAINTENANCE"</f>
        <v>CAR MAINTENANCE</v>
      </c>
    </row>
    <row r="191" spans="1:18" hidden="1" x14ac:dyDescent="0.25">
      <c r="A191">
        <v>8003879954</v>
      </c>
      <c r="B191">
        <v>21</v>
      </c>
      <c r="C191">
        <v>2052017</v>
      </c>
      <c r="D191">
        <v>341</v>
      </c>
      <c r="E191" t="s">
        <v>29</v>
      </c>
      <c r="F191">
        <v>9938</v>
      </c>
      <c r="G191">
        <v>16152110</v>
      </c>
      <c r="H191" s="1">
        <v>270</v>
      </c>
      <c r="I191" t="s">
        <v>28</v>
      </c>
      <c r="J191" s="1">
        <v>244365.2</v>
      </c>
      <c r="K191" t="s">
        <v>26</v>
      </c>
      <c r="L191" s="1">
        <v>154338</v>
      </c>
      <c r="M191" t="str">
        <f>"LIANG CHOW MING"</f>
        <v>LIANG CHOW MING</v>
      </c>
      <c r="O191">
        <v>1</v>
      </c>
      <c r="P191" t="str">
        <f>"PGTEFT2266"</f>
        <v>PGTEFT2266</v>
      </c>
      <c r="Q191" t="str">
        <f>"INV19511"</f>
        <v>INV19511</v>
      </c>
    </row>
    <row r="192" spans="1:18" x14ac:dyDescent="0.25">
      <c r="A192">
        <v>8003879954</v>
      </c>
      <c r="B192">
        <v>20</v>
      </c>
      <c r="C192">
        <v>2052017</v>
      </c>
      <c r="D192">
        <v>299</v>
      </c>
      <c r="E192" t="s">
        <v>30</v>
      </c>
      <c r="F192">
        <v>9938</v>
      </c>
      <c r="G192">
        <v>16152110</v>
      </c>
      <c r="H192" s="1">
        <v>0.01</v>
      </c>
      <c r="I192" t="s">
        <v>28</v>
      </c>
      <c r="J192" s="1">
        <v>244635.2</v>
      </c>
      <c r="K192" t="s">
        <v>26</v>
      </c>
      <c r="L192" s="1">
        <v>154338</v>
      </c>
      <c r="M192" t="str">
        <f>"PGTEFT2266          INV19511"</f>
        <v>PGTEFT2266          INV19511</v>
      </c>
      <c r="O192">
        <v>1</v>
      </c>
    </row>
    <row r="193" spans="1:17" hidden="1" x14ac:dyDescent="0.25">
      <c r="A193">
        <v>8003879954</v>
      </c>
      <c r="B193">
        <v>19</v>
      </c>
      <c r="C193">
        <v>2052017</v>
      </c>
      <c r="D193">
        <v>489</v>
      </c>
      <c r="E193" t="s">
        <v>31</v>
      </c>
      <c r="F193">
        <v>9938</v>
      </c>
      <c r="G193">
        <v>16152110</v>
      </c>
      <c r="H193" s="1">
        <v>0.1</v>
      </c>
      <c r="I193" t="s">
        <v>28</v>
      </c>
      <c r="J193" s="1">
        <v>244635.21</v>
      </c>
      <c r="K193" t="s">
        <v>26</v>
      </c>
      <c r="L193" s="1">
        <v>154338</v>
      </c>
      <c r="M193" t="str">
        <f>"PGTEFT2266          INV19511"</f>
        <v>PGTEFT2266          INV19511</v>
      </c>
      <c r="O193">
        <v>1</v>
      </c>
    </row>
    <row r="194" spans="1:17" hidden="1" x14ac:dyDescent="0.25">
      <c r="A194">
        <v>8003879954</v>
      </c>
      <c r="B194">
        <v>18</v>
      </c>
      <c r="C194">
        <v>2052017</v>
      </c>
      <c r="D194">
        <v>341</v>
      </c>
      <c r="E194" t="s">
        <v>29</v>
      </c>
      <c r="F194">
        <v>9938</v>
      </c>
      <c r="G194">
        <v>16153531</v>
      </c>
      <c r="H194" s="1">
        <v>850</v>
      </c>
      <c r="I194" t="s">
        <v>28</v>
      </c>
      <c r="J194" s="1">
        <v>244635.31</v>
      </c>
      <c r="K194" t="s">
        <v>26</v>
      </c>
      <c r="L194" s="1">
        <v>154338</v>
      </c>
      <c r="M194" t="str">
        <f>"JAYKODI RESOURCES"</f>
        <v>JAYKODI RESOURCES</v>
      </c>
      <c r="O194">
        <v>1</v>
      </c>
      <c r="P194" t="str">
        <f>"PGTEFT2262"</f>
        <v>PGTEFT2262</v>
      </c>
      <c r="Q194" t="str">
        <f>"CLEANING SERVICES"</f>
        <v>CLEANING SERVICES</v>
      </c>
    </row>
    <row r="195" spans="1:17" x14ac:dyDescent="0.25">
      <c r="A195">
        <v>8003879954</v>
      </c>
      <c r="B195">
        <v>17</v>
      </c>
      <c r="C195">
        <v>2052017</v>
      </c>
      <c r="D195">
        <v>299</v>
      </c>
      <c r="E195" t="s">
        <v>30</v>
      </c>
      <c r="F195">
        <v>9938</v>
      </c>
      <c r="G195">
        <v>16153531</v>
      </c>
      <c r="H195" s="1">
        <v>0.01</v>
      </c>
      <c r="I195" t="s">
        <v>28</v>
      </c>
      <c r="J195" s="1">
        <v>245485.31</v>
      </c>
      <c r="K195" t="s">
        <v>26</v>
      </c>
      <c r="L195" s="1">
        <v>154338</v>
      </c>
      <c r="M195" t="str">
        <f>"PGTEFT2262          CLEANING SERVICES"</f>
        <v>PGTEFT2262          CLEANING SERVICES</v>
      </c>
      <c r="O195">
        <v>1</v>
      </c>
    </row>
    <row r="196" spans="1:17" hidden="1" x14ac:dyDescent="0.25">
      <c r="A196">
        <v>8003879954</v>
      </c>
      <c r="B196">
        <v>16</v>
      </c>
      <c r="C196">
        <v>2052017</v>
      </c>
      <c r="D196">
        <v>489</v>
      </c>
      <c r="E196" t="s">
        <v>31</v>
      </c>
      <c r="F196">
        <v>9938</v>
      </c>
      <c r="G196">
        <v>16153531</v>
      </c>
      <c r="H196" s="1">
        <v>0.1</v>
      </c>
      <c r="I196" t="s">
        <v>28</v>
      </c>
      <c r="J196" s="1">
        <v>245485.32</v>
      </c>
      <c r="K196" t="s">
        <v>26</v>
      </c>
      <c r="L196" s="1">
        <v>154338</v>
      </c>
      <c r="M196" t="str">
        <f>"PGTEFT2262          CLEANING SERVICES"</f>
        <v>PGTEFT2262          CLEANING SERVICES</v>
      </c>
      <c r="O196">
        <v>1</v>
      </c>
    </row>
    <row r="197" spans="1:17" hidden="1" x14ac:dyDescent="0.25">
      <c r="A197">
        <v>8003879954</v>
      </c>
      <c r="B197">
        <v>15</v>
      </c>
      <c r="C197">
        <v>2052017</v>
      </c>
      <c r="D197">
        <v>341</v>
      </c>
      <c r="E197" t="s">
        <v>29</v>
      </c>
      <c r="F197">
        <v>9938</v>
      </c>
      <c r="G197">
        <v>16153259</v>
      </c>
      <c r="H197" s="1">
        <v>6000</v>
      </c>
      <c r="I197" t="s">
        <v>28</v>
      </c>
      <c r="J197" s="1">
        <v>245485.42</v>
      </c>
      <c r="K197" t="s">
        <v>26</v>
      </c>
      <c r="L197" s="1">
        <v>154334</v>
      </c>
      <c r="M197" t="str">
        <f>"JOHDAYA KARYA SDN BH"</f>
        <v>JOHDAYA KARYA SDN BH</v>
      </c>
      <c r="O197">
        <v>1</v>
      </c>
      <c r="P197" t="str">
        <f>"PGTEFT2263"</f>
        <v>PGTEFT2263</v>
      </c>
      <c r="Q197" t="str">
        <f>"PTE JOHOR"</f>
        <v>PTE JOHOR</v>
      </c>
    </row>
    <row r="198" spans="1:17" x14ac:dyDescent="0.25">
      <c r="A198">
        <v>8003879954</v>
      </c>
      <c r="B198">
        <v>14</v>
      </c>
      <c r="C198">
        <v>2052017</v>
      </c>
      <c r="D198">
        <v>299</v>
      </c>
      <c r="E198" t="s">
        <v>30</v>
      </c>
      <c r="F198">
        <v>9938</v>
      </c>
      <c r="G198">
        <v>16153259</v>
      </c>
      <c r="H198" s="1">
        <v>0.01</v>
      </c>
      <c r="I198" t="s">
        <v>28</v>
      </c>
      <c r="J198" s="1">
        <v>251485.42</v>
      </c>
      <c r="K198" t="s">
        <v>26</v>
      </c>
      <c r="L198" s="1">
        <v>154334</v>
      </c>
      <c r="M198" t="str">
        <f>"PGTEFT2263          PTE JOHOR"</f>
        <v>PGTEFT2263          PTE JOHOR</v>
      </c>
      <c r="O198">
        <v>1</v>
      </c>
    </row>
    <row r="199" spans="1:17" hidden="1" x14ac:dyDescent="0.25">
      <c r="A199">
        <v>8003879954</v>
      </c>
      <c r="B199">
        <v>13</v>
      </c>
      <c r="C199">
        <v>2052017</v>
      </c>
      <c r="D199">
        <v>489</v>
      </c>
      <c r="E199" t="s">
        <v>31</v>
      </c>
      <c r="F199">
        <v>9938</v>
      </c>
      <c r="G199">
        <v>16153259</v>
      </c>
      <c r="H199" s="1">
        <v>0.1</v>
      </c>
      <c r="I199" t="s">
        <v>28</v>
      </c>
      <c r="J199" s="1">
        <v>251485.43</v>
      </c>
      <c r="K199" t="s">
        <v>26</v>
      </c>
      <c r="L199" s="1">
        <v>154334</v>
      </c>
      <c r="M199" t="str">
        <f>"PGTEFT2263          PTE JOHOR"</f>
        <v>PGTEFT2263          PTE JOHOR</v>
      </c>
      <c r="O199">
        <v>1</v>
      </c>
    </row>
    <row r="200" spans="1:17" hidden="1" x14ac:dyDescent="0.25">
      <c r="A200">
        <v>8003879954</v>
      </c>
      <c r="B200">
        <v>12</v>
      </c>
      <c r="C200">
        <v>2052017</v>
      </c>
      <c r="D200">
        <v>345</v>
      </c>
      <c r="E200" t="s">
        <v>27</v>
      </c>
      <c r="F200">
        <v>9938</v>
      </c>
      <c r="G200">
        <v>16152245</v>
      </c>
      <c r="H200" s="1">
        <v>175</v>
      </c>
      <c r="I200" t="s">
        <v>28</v>
      </c>
      <c r="J200" s="1">
        <v>251485.53</v>
      </c>
      <c r="K200" t="s">
        <v>26</v>
      </c>
      <c r="L200" s="1">
        <v>154334</v>
      </c>
      <c r="M200" t="str">
        <f>"APRIL NUR NASYHA IZZATY B"</f>
        <v>APRIL NUR NASYHA IZZATY B</v>
      </c>
      <c r="O200">
        <v>1</v>
      </c>
      <c r="P200" t="str">
        <f>"PGTEFT2267"</f>
        <v>PGTEFT2267</v>
      </c>
      <c r="Q200" t="str">
        <f>"TRAINEE ALLOWANCE"</f>
        <v>TRAINEE ALLOWANCE</v>
      </c>
    </row>
    <row r="201" spans="1:17" hidden="1" x14ac:dyDescent="0.25">
      <c r="A201">
        <v>8003879954</v>
      </c>
      <c r="B201">
        <v>11</v>
      </c>
      <c r="C201">
        <v>2052017</v>
      </c>
      <c r="D201">
        <v>341</v>
      </c>
      <c r="E201" t="s">
        <v>29</v>
      </c>
      <c r="F201">
        <v>9938</v>
      </c>
      <c r="G201">
        <v>16154077</v>
      </c>
      <c r="H201" s="1">
        <v>741.66</v>
      </c>
      <c r="I201" t="s">
        <v>28</v>
      </c>
      <c r="J201" s="1">
        <v>251660.53</v>
      </c>
      <c r="K201" t="s">
        <v>26</v>
      </c>
      <c r="L201" s="1">
        <v>154334</v>
      </c>
      <c r="M201" t="str">
        <f>"FUJI XEROX ASIA PACI"</f>
        <v>FUJI XEROX ASIA PACI</v>
      </c>
      <c r="O201">
        <v>1</v>
      </c>
      <c r="P201" t="str">
        <f>"PGTEFT2260"</f>
        <v>PGTEFT2260</v>
      </c>
      <c r="Q201" t="str">
        <f>"INV102474110"</f>
        <v>INV102474110</v>
      </c>
    </row>
    <row r="202" spans="1:17" x14ac:dyDescent="0.25">
      <c r="A202">
        <v>8003879954</v>
      </c>
      <c r="B202">
        <v>10</v>
      </c>
      <c r="C202">
        <v>2052017</v>
      </c>
      <c r="D202">
        <v>299</v>
      </c>
      <c r="E202" t="s">
        <v>30</v>
      </c>
      <c r="F202">
        <v>9938</v>
      </c>
      <c r="G202">
        <v>16154077</v>
      </c>
      <c r="H202" s="1">
        <v>0.01</v>
      </c>
      <c r="I202" t="s">
        <v>28</v>
      </c>
      <c r="J202" s="1">
        <v>252402.19</v>
      </c>
      <c r="K202" t="s">
        <v>26</v>
      </c>
      <c r="L202" s="1">
        <v>154334</v>
      </c>
      <c r="M202" t="str">
        <f>"PGTEFT2260          INV102474110"</f>
        <v>PGTEFT2260          INV102474110</v>
      </c>
      <c r="O202">
        <v>1</v>
      </c>
    </row>
    <row r="203" spans="1:17" hidden="1" x14ac:dyDescent="0.25">
      <c r="A203">
        <v>8003879954</v>
      </c>
      <c r="B203">
        <v>9</v>
      </c>
      <c r="C203">
        <v>2052017</v>
      </c>
      <c r="D203">
        <v>489</v>
      </c>
      <c r="E203" t="s">
        <v>31</v>
      </c>
      <c r="F203">
        <v>9938</v>
      </c>
      <c r="G203">
        <v>16154077</v>
      </c>
      <c r="H203" s="1">
        <v>0.1</v>
      </c>
      <c r="I203" t="s">
        <v>28</v>
      </c>
      <c r="J203" s="1">
        <v>252402.2</v>
      </c>
      <c r="K203" t="s">
        <v>26</v>
      </c>
      <c r="L203" s="1">
        <v>154334</v>
      </c>
      <c r="M203" t="str">
        <f>"PGTEFT2260          INV102474110"</f>
        <v>PGTEFT2260          INV102474110</v>
      </c>
      <c r="O203">
        <v>1</v>
      </c>
    </row>
    <row r="204" spans="1:17" hidden="1" x14ac:dyDescent="0.25">
      <c r="A204">
        <v>8003879954</v>
      </c>
      <c r="B204">
        <v>8</v>
      </c>
      <c r="C204">
        <v>2052017</v>
      </c>
      <c r="D204">
        <v>60</v>
      </c>
      <c r="E204" t="s">
        <v>43</v>
      </c>
      <c r="F204">
        <v>9938</v>
      </c>
      <c r="G204">
        <v>16154178</v>
      </c>
      <c r="H204" s="1">
        <v>390</v>
      </c>
      <c r="I204" t="s">
        <v>28</v>
      </c>
      <c r="J204" s="1">
        <v>252402.3</v>
      </c>
      <c r="K204" t="s">
        <v>26</v>
      </c>
      <c r="L204" s="1">
        <v>154336</v>
      </c>
      <c r="M204" t="str">
        <f>"PAYROLL FOR APRIL CORPORATENET ADVISO"</f>
        <v>PAYROLL FOR APRIL CORPORATENET ADVISO</v>
      </c>
      <c r="O204">
        <v>1</v>
      </c>
      <c r="P204" t="str">
        <f>"PGTEFT2259"</f>
        <v>PGTEFT2259</v>
      </c>
      <c r="Q204" t="str">
        <f>"INVCA-17-0061"</f>
        <v>INVCA-17-0061</v>
      </c>
    </row>
    <row r="205" spans="1:17" hidden="1" x14ac:dyDescent="0.25">
      <c r="A205">
        <v>8003879954</v>
      </c>
      <c r="B205">
        <v>7</v>
      </c>
      <c r="C205">
        <v>2052017</v>
      </c>
      <c r="D205">
        <v>60</v>
      </c>
      <c r="E205" t="s">
        <v>43</v>
      </c>
      <c r="F205">
        <v>9938</v>
      </c>
      <c r="G205">
        <v>16158906</v>
      </c>
      <c r="H205" s="1">
        <v>122</v>
      </c>
      <c r="I205" t="s">
        <v>28</v>
      </c>
      <c r="J205" s="1">
        <v>252792.3</v>
      </c>
      <c r="K205" t="s">
        <v>26</v>
      </c>
      <c r="L205" s="1">
        <v>154336</v>
      </c>
      <c r="M205" t="str">
        <f>"NO.ANSURAN 4 AKAUN KJAAN MSIA PU"</f>
        <v>NO.ANSURAN 4 AKAUN KJAAN MSIA PU</v>
      </c>
      <c r="O205">
        <v>1</v>
      </c>
      <c r="P205" t="str">
        <f>"PGTEFT2268"</f>
        <v>PGTEFT2268</v>
      </c>
      <c r="Q205" t="str">
        <f>"C285195105"</f>
        <v>C285195105</v>
      </c>
    </row>
    <row r="206" spans="1:17" hidden="1" x14ac:dyDescent="0.25">
      <c r="A206">
        <v>8003879954</v>
      </c>
      <c r="B206">
        <v>6</v>
      </c>
      <c r="C206">
        <v>2052017</v>
      </c>
      <c r="D206">
        <v>341</v>
      </c>
      <c r="E206" t="s">
        <v>29</v>
      </c>
      <c r="F206">
        <v>9938</v>
      </c>
      <c r="G206">
        <v>16152418</v>
      </c>
      <c r="H206" s="1">
        <v>2486.62</v>
      </c>
      <c r="I206" t="s">
        <v>28</v>
      </c>
      <c r="J206" s="1">
        <v>252914.3</v>
      </c>
      <c r="K206" t="s">
        <v>26</v>
      </c>
      <c r="L206" s="1">
        <v>154334</v>
      </c>
      <c r="M206" t="str">
        <f>"LOKE SIEW FOOK"</f>
        <v>LOKE SIEW FOOK</v>
      </c>
      <c r="O206">
        <v>1</v>
      </c>
      <c r="P206" t="str">
        <f>"PGTEFT2265"</f>
        <v>PGTEFT2265</v>
      </c>
      <c r="Q206" t="str">
        <f>"CLAIMS"</f>
        <v>CLAIMS</v>
      </c>
    </row>
    <row r="207" spans="1:17" x14ac:dyDescent="0.25">
      <c r="A207">
        <v>8003879954</v>
      </c>
      <c r="B207">
        <v>5</v>
      </c>
      <c r="C207">
        <v>2052017</v>
      </c>
      <c r="D207">
        <v>299</v>
      </c>
      <c r="E207" t="s">
        <v>30</v>
      </c>
      <c r="F207">
        <v>9938</v>
      </c>
      <c r="G207">
        <v>16152418</v>
      </c>
      <c r="H207" s="1">
        <v>0.01</v>
      </c>
      <c r="I207" t="s">
        <v>28</v>
      </c>
      <c r="J207" s="1">
        <v>255400.92</v>
      </c>
      <c r="K207" t="s">
        <v>26</v>
      </c>
      <c r="L207" s="1">
        <v>154334</v>
      </c>
      <c r="M207" t="str">
        <f>"PGTEFT2265          CLAIMS"</f>
        <v>PGTEFT2265          CLAIMS</v>
      </c>
      <c r="O207">
        <v>1</v>
      </c>
    </row>
    <row r="208" spans="1:17" hidden="1" x14ac:dyDescent="0.25">
      <c r="A208">
        <v>8003879954</v>
      </c>
      <c r="B208">
        <v>4</v>
      </c>
      <c r="C208">
        <v>2052017</v>
      </c>
      <c r="D208">
        <v>489</v>
      </c>
      <c r="E208" t="s">
        <v>31</v>
      </c>
      <c r="F208">
        <v>9938</v>
      </c>
      <c r="G208">
        <v>16152418</v>
      </c>
      <c r="H208" s="1">
        <v>0.1</v>
      </c>
      <c r="I208" t="s">
        <v>28</v>
      </c>
      <c r="J208" s="1">
        <v>255400.93</v>
      </c>
      <c r="K208" t="s">
        <v>26</v>
      </c>
      <c r="L208" s="1">
        <v>154334</v>
      </c>
      <c r="M208" t="str">
        <f>"PGTEFT2265          CLAIMS"</f>
        <v>PGTEFT2265          CLAIMS</v>
      </c>
      <c r="O208">
        <v>1</v>
      </c>
    </row>
    <row r="209" spans="1:17" hidden="1" x14ac:dyDescent="0.25">
      <c r="A209">
        <v>8003879954</v>
      </c>
      <c r="B209">
        <v>3</v>
      </c>
      <c r="C209">
        <v>2052017</v>
      </c>
      <c r="D209">
        <v>341</v>
      </c>
      <c r="E209" t="s">
        <v>29</v>
      </c>
      <c r="F209">
        <v>9938</v>
      </c>
      <c r="G209">
        <v>16154340</v>
      </c>
      <c r="H209" s="1">
        <v>3339</v>
      </c>
      <c r="I209" t="s">
        <v>28</v>
      </c>
      <c r="J209" s="1">
        <v>255401.03</v>
      </c>
      <c r="K209" t="s">
        <v>26</v>
      </c>
      <c r="L209" s="1">
        <v>154334</v>
      </c>
      <c r="M209" t="str">
        <f>"CHEONG SENG CHAN SDN"</f>
        <v>CHEONG SENG CHAN SDN</v>
      </c>
      <c r="O209">
        <v>1</v>
      </c>
      <c r="P209" t="str">
        <f>"PGTEFT2258"</f>
        <v>PGTEFT2258</v>
      </c>
      <c r="Q209" t="str">
        <f>"INV00006938"</f>
        <v>INV00006938</v>
      </c>
    </row>
    <row r="210" spans="1:17" x14ac:dyDescent="0.25">
      <c r="A210">
        <v>8003879954</v>
      </c>
      <c r="B210">
        <v>2</v>
      </c>
      <c r="C210">
        <v>2052017</v>
      </c>
      <c r="D210">
        <v>299</v>
      </c>
      <c r="E210" t="s">
        <v>30</v>
      </c>
      <c r="F210">
        <v>9938</v>
      </c>
      <c r="G210">
        <v>16154340</v>
      </c>
      <c r="H210" s="1">
        <v>0.01</v>
      </c>
      <c r="I210" t="s">
        <v>28</v>
      </c>
      <c r="J210" s="1">
        <v>258740.03</v>
      </c>
      <c r="K210" t="s">
        <v>26</v>
      </c>
      <c r="L210" s="1">
        <v>154334</v>
      </c>
      <c r="M210" t="str">
        <f>"PGTEFT2258          INV00006938"</f>
        <v>PGTEFT2258          INV00006938</v>
      </c>
      <c r="O210">
        <v>1</v>
      </c>
    </row>
    <row r="211" spans="1:17" hidden="1" x14ac:dyDescent="0.25">
      <c r="A211">
        <v>8003879954</v>
      </c>
      <c r="B211">
        <v>1</v>
      </c>
      <c r="C211">
        <v>2052017</v>
      </c>
      <c r="D211">
        <v>489</v>
      </c>
      <c r="E211" t="s">
        <v>31</v>
      </c>
      <c r="F211">
        <v>9938</v>
      </c>
      <c r="G211">
        <v>16154340</v>
      </c>
      <c r="H211" s="1">
        <v>0.1</v>
      </c>
      <c r="I211" t="s">
        <v>28</v>
      </c>
      <c r="J211" s="1">
        <v>258740.04</v>
      </c>
      <c r="K211" t="s">
        <v>26</v>
      </c>
      <c r="L211" s="1">
        <v>154334</v>
      </c>
      <c r="M211" t="str">
        <f>"PGTEFT2258          INV00006938"</f>
        <v>PGTEFT2258          INV00006938</v>
      </c>
      <c r="O211">
        <v>1</v>
      </c>
    </row>
    <row r="213" spans="1:17" x14ac:dyDescent="0.25">
      <c r="H213" s="1">
        <f>SUBTOTAL(9,H8:H211)</f>
        <v>2.8699999999999899</v>
      </c>
    </row>
  </sheetData>
  <autoFilter ref="A7:Q211">
    <filterColumn colId="4">
      <filters>
        <filter val="GST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7"/>
  <sheetViews>
    <sheetView workbookViewId="0">
      <selection activeCell="F311" sqref="F311"/>
    </sheetView>
  </sheetViews>
  <sheetFormatPr defaultRowHeight="15" x14ac:dyDescent="0.25"/>
  <cols>
    <col min="1" max="1" width="11" customWidth="1"/>
    <col min="5" max="5" width="29.5703125" customWidth="1"/>
    <col min="7" max="7" width="18.28515625" customWidth="1"/>
    <col min="8" max="8" width="13.28515625" style="1" customWidth="1"/>
    <col min="10" max="10" width="13.28515625" style="1" customWidth="1"/>
    <col min="11" max="11" width="13.28515625" bestFit="1" customWidth="1"/>
    <col min="12" max="12" width="11.5703125" style="1" customWidth="1"/>
  </cols>
  <sheetData>
    <row r="1" spans="1:18" x14ac:dyDescent="0.25">
      <c r="A1" t="s">
        <v>0</v>
      </c>
      <c r="L1"/>
    </row>
    <row r="2" spans="1:18" x14ac:dyDescent="0.25">
      <c r="A2" t="s">
        <v>1</v>
      </c>
      <c r="B2" t="s">
        <v>2</v>
      </c>
      <c r="L2"/>
    </row>
    <row r="3" spans="1:18" x14ac:dyDescent="0.25">
      <c r="A3" t="s">
        <v>3</v>
      </c>
      <c r="L3"/>
    </row>
    <row r="4" spans="1:18" x14ac:dyDescent="0.25">
      <c r="A4" t="s">
        <v>191</v>
      </c>
      <c r="L4"/>
    </row>
    <row r="5" spans="1:18" x14ac:dyDescent="0.25">
      <c r="A5" t="s">
        <v>192</v>
      </c>
      <c r="L5"/>
    </row>
    <row r="6" spans="1:18" x14ac:dyDescent="0.25">
      <c r="A6" t="s">
        <v>193</v>
      </c>
      <c r="L6"/>
    </row>
    <row r="7" spans="1:18" x14ac:dyDescent="0.25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s="1" t="s">
        <v>14</v>
      </c>
      <c r="I7" t="s">
        <v>15</v>
      </c>
      <c r="J7" s="1" t="s">
        <v>16</v>
      </c>
      <c r="K7" t="s">
        <v>17</v>
      </c>
      <c r="L7" t="s">
        <v>18</v>
      </c>
      <c r="M7" t="s">
        <v>19</v>
      </c>
      <c r="N7" t="s">
        <v>20</v>
      </c>
      <c r="O7" t="s">
        <v>21</v>
      </c>
      <c r="P7" t="s">
        <v>22</v>
      </c>
      <c r="Q7" t="s">
        <v>23</v>
      </c>
      <c r="R7" t="s">
        <v>24</v>
      </c>
    </row>
    <row r="8" spans="1:18" x14ac:dyDescent="0.25">
      <c r="A8">
        <v>8003879954</v>
      </c>
      <c r="B8">
        <v>7</v>
      </c>
      <c r="C8">
        <v>30062017</v>
      </c>
      <c r="D8">
        <v>123</v>
      </c>
      <c r="E8" t="s">
        <v>38</v>
      </c>
      <c r="F8">
        <v>2007</v>
      </c>
      <c r="G8" t="s">
        <v>351</v>
      </c>
      <c r="H8" s="1">
        <v>2000</v>
      </c>
      <c r="I8" t="s">
        <v>26</v>
      </c>
      <c r="J8" s="1">
        <v>414385.27</v>
      </c>
      <c r="K8" t="s">
        <v>26</v>
      </c>
      <c r="L8">
        <v>191338</v>
      </c>
      <c r="M8" t="s">
        <v>53</v>
      </c>
      <c r="O8">
        <v>1</v>
      </c>
    </row>
    <row r="9" spans="1:18" x14ac:dyDescent="0.25">
      <c r="A9">
        <v>8003879954</v>
      </c>
      <c r="B9">
        <v>6</v>
      </c>
      <c r="C9">
        <v>30062017</v>
      </c>
      <c r="D9">
        <v>341</v>
      </c>
      <c r="E9" t="s">
        <v>29</v>
      </c>
      <c r="F9">
        <v>9938</v>
      </c>
      <c r="G9" t="s">
        <v>352</v>
      </c>
      <c r="H9" s="1">
        <v>362.09</v>
      </c>
      <c r="I9" t="s">
        <v>28</v>
      </c>
      <c r="J9" s="1">
        <v>412385.27</v>
      </c>
      <c r="K9" t="s">
        <v>26</v>
      </c>
      <c r="L9">
        <v>83709</v>
      </c>
      <c r="M9" t="s">
        <v>353</v>
      </c>
      <c r="O9">
        <v>1</v>
      </c>
      <c r="P9" t="s">
        <v>354</v>
      </c>
      <c r="Q9" t="s">
        <v>355</v>
      </c>
    </row>
    <row r="10" spans="1:18" x14ac:dyDescent="0.25">
      <c r="A10">
        <v>8003879954</v>
      </c>
      <c r="B10">
        <v>5</v>
      </c>
      <c r="C10">
        <v>30062017</v>
      </c>
      <c r="D10">
        <v>299</v>
      </c>
      <c r="E10" t="s">
        <v>30</v>
      </c>
      <c r="F10">
        <v>9938</v>
      </c>
      <c r="G10" t="s">
        <v>352</v>
      </c>
      <c r="H10" s="1">
        <v>0.01</v>
      </c>
      <c r="I10" t="s">
        <v>28</v>
      </c>
      <c r="J10" s="1">
        <v>412747.36</v>
      </c>
      <c r="K10" t="s">
        <v>26</v>
      </c>
      <c r="L10">
        <v>83709</v>
      </c>
      <c r="M10" t="s">
        <v>356</v>
      </c>
      <c r="O10">
        <v>1</v>
      </c>
    </row>
    <row r="11" spans="1:18" x14ac:dyDescent="0.25">
      <c r="A11">
        <v>8003879954</v>
      </c>
      <c r="B11">
        <v>4</v>
      </c>
      <c r="C11">
        <v>30062017</v>
      </c>
      <c r="D11">
        <v>489</v>
      </c>
      <c r="E11" t="s">
        <v>31</v>
      </c>
      <c r="F11">
        <v>9938</v>
      </c>
      <c r="G11" t="s">
        <v>352</v>
      </c>
      <c r="H11" s="1">
        <v>0.1</v>
      </c>
      <c r="I11" t="s">
        <v>28</v>
      </c>
      <c r="J11" s="1">
        <v>412747.37</v>
      </c>
      <c r="K11" t="s">
        <v>26</v>
      </c>
      <c r="L11">
        <v>83709</v>
      </c>
      <c r="M11" t="s">
        <v>356</v>
      </c>
      <c r="O11">
        <v>1</v>
      </c>
    </row>
    <row r="12" spans="1:18" x14ac:dyDescent="0.25">
      <c r="A12">
        <v>8003879954</v>
      </c>
      <c r="B12">
        <v>3</v>
      </c>
      <c r="C12">
        <v>30062017</v>
      </c>
      <c r="D12">
        <v>299</v>
      </c>
      <c r="E12" t="s">
        <v>30</v>
      </c>
      <c r="F12">
        <v>2001</v>
      </c>
      <c r="G12" t="s">
        <v>357</v>
      </c>
      <c r="H12" s="1">
        <v>2.16</v>
      </c>
      <c r="I12" t="s">
        <v>28</v>
      </c>
      <c r="J12" s="1">
        <v>412747.47</v>
      </c>
      <c r="K12" t="s">
        <v>26</v>
      </c>
      <c r="L12">
        <v>71052</v>
      </c>
      <c r="M12" t="s">
        <v>357</v>
      </c>
      <c r="O12">
        <v>1</v>
      </c>
    </row>
    <row r="13" spans="1:18" x14ac:dyDescent="0.25">
      <c r="A13">
        <v>8003879954</v>
      </c>
      <c r="B13">
        <v>2</v>
      </c>
      <c r="C13">
        <v>30062017</v>
      </c>
      <c r="D13">
        <v>489</v>
      </c>
      <c r="E13" t="s">
        <v>50</v>
      </c>
      <c r="F13">
        <v>2001</v>
      </c>
      <c r="G13" t="s">
        <v>357</v>
      </c>
      <c r="H13" s="1">
        <v>36</v>
      </c>
      <c r="I13" t="s">
        <v>28</v>
      </c>
      <c r="J13" s="1">
        <v>412749.63</v>
      </c>
      <c r="K13" t="s">
        <v>26</v>
      </c>
      <c r="L13">
        <v>71052</v>
      </c>
      <c r="M13" t="s">
        <v>357</v>
      </c>
      <c r="O13">
        <v>1</v>
      </c>
    </row>
    <row r="14" spans="1:18" x14ac:dyDescent="0.25">
      <c r="A14">
        <v>8003879954</v>
      </c>
      <c r="B14">
        <v>1</v>
      </c>
      <c r="C14">
        <v>30062017</v>
      </c>
      <c r="D14">
        <v>341</v>
      </c>
      <c r="E14" t="s">
        <v>51</v>
      </c>
      <c r="F14">
        <v>2001</v>
      </c>
      <c r="G14" t="s">
        <v>358</v>
      </c>
      <c r="H14" s="1">
        <v>82807.47</v>
      </c>
      <c r="I14" t="s">
        <v>28</v>
      </c>
      <c r="J14" s="1">
        <v>412785.63</v>
      </c>
      <c r="K14" t="s">
        <v>26</v>
      </c>
      <c r="L14">
        <v>71046</v>
      </c>
      <c r="M14" t="s">
        <v>358</v>
      </c>
      <c r="O14">
        <v>1</v>
      </c>
      <c r="Q14" t="s">
        <v>359</v>
      </c>
    </row>
    <row r="15" spans="1:18" x14ac:dyDescent="0.25">
      <c r="A15">
        <v>8003879954</v>
      </c>
      <c r="B15">
        <v>32</v>
      </c>
      <c r="C15">
        <v>29062017</v>
      </c>
      <c r="D15">
        <v>341</v>
      </c>
      <c r="E15" t="s">
        <v>29</v>
      </c>
      <c r="F15">
        <v>9938</v>
      </c>
      <c r="G15" t="s">
        <v>360</v>
      </c>
      <c r="H15" s="1">
        <v>339.2</v>
      </c>
      <c r="I15" t="s">
        <v>28</v>
      </c>
      <c r="J15" s="1">
        <v>495593.1</v>
      </c>
      <c r="K15" t="s">
        <v>26</v>
      </c>
      <c r="L15">
        <v>81735</v>
      </c>
      <c r="M15" t="s">
        <v>120</v>
      </c>
      <c r="O15">
        <v>1</v>
      </c>
      <c r="P15" t="s">
        <v>361</v>
      </c>
      <c r="Q15" t="s">
        <v>362</v>
      </c>
    </row>
    <row r="16" spans="1:18" x14ac:dyDescent="0.25">
      <c r="A16">
        <v>8003879954</v>
      </c>
      <c r="B16">
        <v>31</v>
      </c>
      <c r="C16">
        <v>29062017</v>
      </c>
      <c r="D16">
        <v>299</v>
      </c>
      <c r="E16" t="s">
        <v>30</v>
      </c>
      <c r="F16">
        <v>9938</v>
      </c>
      <c r="G16" t="s">
        <v>360</v>
      </c>
      <c r="H16" s="1">
        <v>0.01</v>
      </c>
      <c r="I16" t="s">
        <v>28</v>
      </c>
      <c r="J16" s="1">
        <v>495932.3</v>
      </c>
      <c r="K16" t="s">
        <v>26</v>
      </c>
      <c r="L16">
        <v>81735</v>
      </c>
      <c r="M16" t="s">
        <v>363</v>
      </c>
      <c r="O16">
        <v>1</v>
      </c>
    </row>
    <row r="17" spans="1:17" x14ac:dyDescent="0.25">
      <c r="A17">
        <v>8003879954</v>
      </c>
      <c r="B17">
        <v>30</v>
      </c>
      <c r="C17">
        <v>29062017</v>
      </c>
      <c r="D17">
        <v>489</v>
      </c>
      <c r="E17" t="s">
        <v>31</v>
      </c>
      <c r="F17">
        <v>9938</v>
      </c>
      <c r="G17" t="s">
        <v>360</v>
      </c>
      <c r="H17" s="1">
        <v>0.1</v>
      </c>
      <c r="I17" t="s">
        <v>28</v>
      </c>
      <c r="J17" s="1">
        <v>495932.31</v>
      </c>
      <c r="K17" t="s">
        <v>26</v>
      </c>
      <c r="L17">
        <v>81735</v>
      </c>
      <c r="M17" t="s">
        <v>363</v>
      </c>
      <c r="O17">
        <v>1</v>
      </c>
    </row>
    <row r="18" spans="1:17" x14ac:dyDescent="0.25">
      <c r="A18">
        <v>8003879954</v>
      </c>
      <c r="B18">
        <v>29</v>
      </c>
      <c r="C18">
        <v>29062017</v>
      </c>
      <c r="D18">
        <v>341</v>
      </c>
      <c r="E18" t="s">
        <v>29</v>
      </c>
      <c r="F18">
        <v>9938</v>
      </c>
      <c r="G18" t="s">
        <v>364</v>
      </c>
      <c r="H18" s="1">
        <v>489.72</v>
      </c>
      <c r="I18" t="s">
        <v>28</v>
      </c>
      <c r="J18" s="1">
        <v>495932.41</v>
      </c>
      <c r="K18" t="s">
        <v>26</v>
      </c>
      <c r="L18">
        <v>81650</v>
      </c>
      <c r="M18" t="s">
        <v>365</v>
      </c>
      <c r="O18">
        <v>1</v>
      </c>
      <c r="P18" t="s">
        <v>366</v>
      </c>
      <c r="Q18" t="s">
        <v>367</v>
      </c>
    </row>
    <row r="19" spans="1:17" x14ac:dyDescent="0.25">
      <c r="A19">
        <v>8003879954</v>
      </c>
      <c r="B19">
        <v>28</v>
      </c>
      <c r="C19">
        <v>29062017</v>
      </c>
      <c r="D19">
        <v>299</v>
      </c>
      <c r="E19" t="s">
        <v>30</v>
      </c>
      <c r="F19">
        <v>9938</v>
      </c>
      <c r="G19" t="s">
        <v>364</v>
      </c>
      <c r="H19" s="1">
        <v>0.01</v>
      </c>
      <c r="I19" t="s">
        <v>28</v>
      </c>
      <c r="J19" s="1">
        <v>496422.13</v>
      </c>
      <c r="K19" t="s">
        <v>26</v>
      </c>
      <c r="L19">
        <v>81650</v>
      </c>
      <c r="M19" t="s">
        <v>368</v>
      </c>
      <c r="O19">
        <v>1</v>
      </c>
    </row>
    <row r="20" spans="1:17" x14ac:dyDescent="0.25">
      <c r="A20">
        <v>8003879954</v>
      </c>
      <c r="B20">
        <v>27</v>
      </c>
      <c r="C20">
        <v>29062017</v>
      </c>
      <c r="D20">
        <v>489</v>
      </c>
      <c r="E20" t="s">
        <v>31</v>
      </c>
      <c r="F20">
        <v>9938</v>
      </c>
      <c r="G20" t="s">
        <v>364</v>
      </c>
      <c r="H20" s="1">
        <v>0.1</v>
      </c>
      <c r="I20" t="s">
        <v>28</v>
      </c>
      <c r="J20" s="1">
        <v>496422.14</v>
      </c>
      <c r="K20" t="s">
        <v>26</v>
      </c>
      <c r="L20">
        <v>81650</v>
      </c>
      <c r="M20" t="s">
        <v>368</v>
      </c>
      <c r="O20">
        <v>1</v>
      </c>
    </row>
    <row r="21" spans="1:17" x14ac:dyDescent="0.25">
      <c r="A21">
        <v>8003879954</v>
      </c>
      <c r="B21">
        <v>26</v>
      </c>
      <c r="C21">
        <v>29062017</v>
      </c>
      <c r="D21">
        <v>341</v>
      </c>
      <c r="E21" t="s">
        <v>29</v>
      </c>
      <c r="F21">
        <v>9938</v>
      </c>
      <c r="G21" t="s">
        <v>369</v>
      </c>
      <c r="H21" s="1">
        <v>547.76</v>
      </c>
      <c r="I21" t="s">
        <v>28</v>
      </c>
      <c r="J21" s="1">
        <v>496422.24</v>
      </c>
      <c r="K21" t="s">
        <v>26</v>
      </c>
      <c r="L21">
        <v>81633</v>
      </c>
      <c r="M21" t="s">
        <v>225</v>
      </c>
      <c r="O21">
        <v>1</v>
      </c>
      <c r="P21" t="s">
        <v>370</v>
      </c>
      <c r="Q21" t="s">
        <v>371</v>
      </c>
    </row>
    <row r="22" spans="1:17" x14ac:dyDescent="0.25">
      <c r="A22">
        <v>8003879954</v>
      </c>
      <c r="B22">
        <v>25</v>
      </c>
      <c r="C22">
        <v>29062017</v>
      </c>
      <c r="D22">
        <v>299</v>
      </c>
      <c r="E22" t="s">
        <v>30</v>
      </c>
      <c r="F22">
        <v>9938</v>
      </c>
      <c r="G22" t="s">
        <v>369</v>
      </c>
      <c r="H22" s="1">
        <v>0.01</v>
      </c>
      <c r="I22" t="s">
        <v>28</v>
      </c>
      <c r="J22" s="1">
        <v>496970</v>
      </c>
      <c r="K22" t="s">
        <v>26</v>
      </c>
      <c r="L22">
        <v>81633</v>
      </c>
      <c r="M22" t="s">
        <v>372</v>
      </c>
      <c r="O22">
        <v>1</v>
      </c>
    </row>
    <row r="23" spans="1:17" x14ac:dyDescent="0.25">
      <c r="A23">
        <v>8003879954</v>
      </c>
      <c r="B23">
        <v>24</v>
      </c>
      <c r="C23">
        <v>29062017</v>
      </c>
      <c r="D23">
        <v>489</v>
      </c>
      <c r="E23" t="s">
        <v>31</v>
      </c>
      <c r="F23">
        <v>9938</v>
      </c>
      <c r="G23" t="s">
        <v>369</v>
      </c>
      <c r="H23" s="1">
        <v>0.1</v>
      </c>
      <c r="I23" t="s">
        <v>28</v>
      </c>
      <c r="J23" s="1">
        <v>496970.01</v>
      </c>
      <c r="K23" t="s">
        <v>26</v>
      </c>
      <c r="L23">
        <v>81633</v>
      </c>
      <c r="M23" t="s">
        <v>372</v>
      </c>
      <c r="O23">
        <v>1</v>
      </c>
    </row>
    <row r="24" spans="1:17" x14ac:dyDescent="0.25">
      <c r="A24">
        <v>8003879954</v>
      </c>
      <c r="B24">
        <v>23</v>
      </c>
      <c r="C24">
        <v>29062017</v>
      </c>
      <c r="D24">
        <v>341</v>
      </c>
      <c r="E24" t="s">
        <v>29</v>
      </c>
      <c r="F24">
        <v>9938</v>
      </c>
      <c r="G24" t="s">
        <v>373</v>
      </c>
      <c r="H24" s="1">
        <v>1500</v>
      </c>
      <c r="I24" t="s">
        <v>28</v>
      </c>
      <c r="J24" s="1">
        <v>496970.11</v>
      </c>
      <c r="K24" t="s">
        <v>26</v>
      </c>
      <c r="L24">
        <v>80940</v>
      </c>
      <c r="M24" t="s">
        <v>374</v>
      </c>
      <c r="O24">
        <v>1</v>
      </c>
      <c r="P24" t="s">
        <v>375</v>
      </c>
      <c r="Q24" t="s">
        <v>376</v>
      </c>
    </row>
    <row r="25" spans="1:17" x14ac:dyDescent="0.25">
      <c r="A25">
        <v>8003879954</v>
      </c>
      <c r="B25">
        <v>22</v>
      </c>
      <c r="C25">
        <v>29062017</v>
      </c>
      <c r="D25">
        <v>299</v>
      </c>
      <c r="E25" t="s">
        <v>30</v>
      </c>
      <c r="F25">
        <v>9938</v>
      </c>
      <c r="G25" t="s">
        <v>373</v>
      </c>
      <c r="H25" s="1">
        <v>0.01</v>
      </c>
      <c r="I25" t="s">
        <v>28</v>
      </c>
      <c r="J25" s="1">
        <v>498470.11</v>
      </c>
      <c r="K25" t="s">
        <v>26</v>
      </c>
      <c r="L25">
        <v>80940</v>
      </c>
      <c r="M25" t="s">
        <v>377</v>
      </c>
      <c r="O25">
        <v>1</v>
      </c>
    </row>
    <row r="26" spans="1:17" x14ac:dyDescent="0.25">
      <c r="A26">
        <v>8003879954</v>
      </c>
      <c r="B26">
        <v>21</v>
      </c>
      <c r="C26">
        <v>29062017</v>
      </c>
      <c r="D26">
        <v>489</v>
      </c>
      <c r="E26" t="s">
        <v>31</v>
      </c>
      <c r="F26">
        <v>9938</v>
      </c>
      <c r="G26" t="s">
        <v>373</v>
      </c>
      <c r="H26" s="1">
        <v>0.1</v>
      </c>
      <c r="I26" t="s">
        <v>28</v>
      </c>
      <c r="J26" s="1">
        <v>498470.12</v>
      </c>
      <c r="K26" t="s">
        <v>26</v>
      </c>
      <c r="L26">
        <v>80940</v>
      </c>
      <c r="M26" t="s">
        <v>377</v>
      </c>
      <c r="O26">
        <v>1</v>
      </c>
    </row>
    <row r="27" spans="1:17" x14ac:dyDescent="0.25">
      <c r="A27">
        <v>8003879954</v>
      </c>
      <c r="B27">
        <v>20</v>
      </c>
      <c r="C27">
        <v>29062017</v>
      </c>
      <c r="D27">
        <v>341</v>
      </c>
      <c r="E27" t="s">
        <v>29</v>
      </c>
      <c r="F27">
        <v>9938</v>
      </c>
      <c r="G27" t="s">
        <v>378</v>
      </c>
      <c r="H27" s="1">
        <v>2340</v>
      </c>
      <c r="I27" t="s">
        <v>28</v>
      </c>
      <c r="J27" s="1">
        <v>498470.22</v>
      </c>
      <c r="K27" t="s">
        <v>26</v>
      </c>
      <c r="L27">
        <v>80802</v>
      </c>
      <c r="M27" t="s">
        <v>379</v>
      </c>
      <c r="O27">
        <v>1</v>
      </c>
      <c r="P27" t="s">
        <v>380</v>
      </c>
      <c r="Q27" t="s">
        <v>381</v>
      </c>
    </row>
    <row r="28" spans="1:17" x14ac:dyDescent="0.25">
      <c r="A28">
        <v>8003879954</v>
      </c>
      <c r="B28">
        <v>19</v>
      </c>
      <c r="C28">
        <v>29062017</v>
      </c>
      <c r="D28">
        <v>299</v>
      </c>
      <c r="E28" t="s">
        <v>30</v>
      </c>
      <c r="F28">
        <v>9938</v>
      </c>
      <c r="G28" t="s">
        <v>378</v>
      </c>
      <c r="H28" s="1">
        <v>0.01</v>
      </c>
      <c r="I28" t="s">
        <v>28</v>
      </c>
      <c r="J28" s="1">
        <v>500810.22</v>
      </c>
      <c r="K28" t="s">
        <v>26</v>
      </c>
      <c r="L28">
        <v>80802</v>
      </c>
      <c r="M28" t="s">
        <v>382</v>
      </c>
      <c r="O28">
        <v>1</v>
      </c>
    </row>
    <row r="29" spans="1:17" x14ac:dyDescent="0.25">
      <c r="A29">
        <v>8003879954</v>
      </c>
      <c r="B29">
        <v>18</v>
      </c>
      <c r="C29">
        <v>29062017</v>
      </c>
      <c r="D29">
        <v>489</v>
      </c>
      <c r="E29" t="s">
        <v>31</v>
      </c>
      <c r="F29">
        <v>9938</v>
      </c>
      <c r="G29" t="s">
        <v>378</v>
      </c>
      <c r="H29" s="1">
        <v>0.1</v>
      </c>
      <c r="I29" t="s">
        <v>28</v>
      </c>
      <c r="J29" s="1">
        <v>500810.23</v>
      </c>
      <c r="K29" t="s">
        <v>26</v>
      </c>
      <c r="L29">
        <v>80802</v>
      </c>
      <c r="M29" t="s">
        <v>382</v>
      </c>
      <c r="O29">
        <v>1</v>
      </c>
    </row>
    <row r="30" spans="1:17" x14ac:dyDescent="0.25">
      <c r="A30">
        <v>8003879954</v>
      </c>
      <c r="B30">
        <v>17</v>
      </c>
      <c r="C30">
        <v>29062017</v>
      </c>
      <c r="D30">
        <v>341</v>
      </c>
      <c r="E30" t="s">
        <v>29</v>
      </c>
      <c r="F30">
        <v>9938</v>
      </c>
      <c r="G30" t="s">
        <v>383</v>
      </c>
      <c r="H30" s="1">
        <v>2989.2</v>
      </c>
      <c r="I30" t="s">
        <v>28</v>
      </c>
      <c r="J30" s="1">
        <v>500810.33</v>
      </c>
      <c r="K30" t="s">
        <v>26</v>
      </c>
      <c r="L30">
        <v>80716</v>
      </c>
      <c r="M30" t="s">
        <v>384</v>
      </c>
      <c r="O30">
        <v>1</v>
      </c>
      <c r="P30" t="s">
        <v>385</v>
      </c>
      <c r="Q30" t="s">
        <v>386</v>
      </c>
    </row>
    <row r="31" spans="1:17" x14ac:dyDescent="0.25">
      <c r="A31">
        <v>8003879954</v>
      </c>
      <c r="B31">
        <v>16</v>
      </c>
      <c r="C31">
        <v>29062017</v>
      </c>
      <c r="D31">
        <v>299</v>
      </c>
      <c r="E31" t="s">
        <v>30</v>
      </c>
      <c r="F31">
        <v>9938</v>
      </c>
      <c r="G31" t="s">
        <v>383</v>
      </c>
      <c r="H31" s="1">
        <v>0.01</v>
      </c>
      <c r="I31" t="s">
        <v>28</v>
      </c>
      <c r="J31" s="1">
        <v>503799.53</v>
      </c>
      <c r="K31" t="s">
        <v>26</v>
      </c>
      <c r="L31">
        <v>80716</v>
      </c>
      <c r="M31" t="s">
        <v>387</v>
      </c>
      <c r="O31">
        <v>1</v>
      </c>
    </row>
    <row r="32" spans="1:17" x14ac:dyDescent="0.25">
      <c r="A32">
        <v>8003879954</v>
      </c>
      <c r="B32">
        <v>15</v>
      </c>
      <c r="C32">
        <v>29062017</v>
      </c>
      <c r="D32">
        <v>489</v>
      </c>
      <c r="E32" t="s">
        <v>31</v>
      </c>
      <c r="F32">
        <v>9938</v>
      </c>
      <c r="G32" t="s">
        <v>383</v>
      </c>
      <c r="H32" s="1">
        <v>0.1</v>
      </c>
      <c r="I32" t="s">
        <v>28</v>
      </c>
      <c r="J32" s="1">
        <v>503799.54</v>
      </c>
      <c r="K32" t="s">
        <v>26</v>
      </c>
      <c r="L32">
        <v>80716</v>
      </c>
      <c r="M32" t="s">
        <v>387</v>
      </c>
      <c r="O32">
        <v>1</v>
      </c>
    </row>
    <row r="33" spans="1:17" x14ac:dyDescent="0.25">
      <c r="A33">
        <v>8003879954</v>
      </c>
      <c r="B33">
        <v>14</v>
      </c>
      <c r="C33">
        <v>29062017</v>
      </c>
      <c r="D33">
        <v>341</v>
      </c>
      <c r="E33" t="s">
        <v>29</v>
      </c>
      <c r="F33">
        <v>9938</v>
      </c>
      <c r="G33" t="s">
        <v>388</v>
      </c>
      <c r="H33" s="1">
        <v>3478.08</v>
      </c>
      <c r="I33" t="s">
        <v>28</v>
      </c>
      <c r="J33" s="1">
        <v>503799.64</v>
      </c>
      <c r="K33" t="s">
        <v>26</v>
      </c>
      <c r="L33">
        <v>80651</v>
      </c>
      <c r="M33" t="s">
        <v>389</v>
      </c>
      <c r="O33">
        <v>1</v>
      </c>
      <c r="P33" t="s">
        <v>390</v>
      </c>
      <c r="Q33" t="s">
        <v>391</v>
      </c>
    </row>
    <row r="34" spans="1:17" x14ac:dyDescent="0.25">
      <c r="A34">
        <v>8003879954</v>
      </c>
      <c r="B34">
        <v>13</v>
      </c>
      <c r="C34">
        <v>29062017</v>
      </c>
      <c r="D34">
        <v>299</v>
      </c>
      <c r="E34" t="s">
        <v>30</v>
      </c>
      <c r="F34">
        <v>9938</v>
      </c>
      <c r="G34" t="s">
        <v>388</v>
      </c>
      <c r="H34" s="1">
        <v>0.01</v>
      </c>
      <c r="I34" t="s">
        <v>28</v>
      </c>
      <c r="J34" s="1">
        <v>507277.72</v>
      </c>
      <c r="K34" t="s">
        <v>26</v>
      </c>
      <c r="L34">
        <v>80651</v>
      </c>
      <c r="M34" t="s">
        <v>392</v>
      </c>
      <c r="O34">
        <v>1</v>
      </c>
    </row>
    <row r="35" spans="1:17" x14ac:dyDescent="0.25">
      <c r="A35">
        <v>8003879954</v>
      </c>
      <c r="B35">
        <v>12</v>
      </c>
      <c r="C35">
        <v>29062017</v>
      </c>
      <c r="D35">
        <v>489</v>
      </c>
      <c r="E35" t="s">
        <v>31</v>
      </c>
      <c r="F35">
        <v>9938</v>
      </c>
      <c r="G35" t="s">
        <v>388</v>
      </c>
      <c r="H35" s="1">
        <v>0.1</v>
      </c>
      <c r="I35" t="s">
        <v>28</v>
      </c>
      <c r="J35" s="1">
        <v>507277.73</v>
      </c>
      <c r="K35" t="s">
        <v>26</v>
      </c>
      <c r="L35">
        <v>80651</v>
      </c>
      <c r="M35" t="s">
        <v>392</v>
      </c>
      <c r="O35">
        <v>1</v>
      </c>
    </row>
    <row r="36" spans="1:17" x14ac:dyDescent="0.25">
      <c r="A36">
        <v>8003879954</v>
      </c>
      <c r="B36">
        <v>11</v>
      </c>
      <c r="C36">
        <v>29062017</v>
      </c>
      <c r="D36">
        <v>341</v>
      </c>
      <c r="E36" t="s">
        <v>29</v>
      </c>
      <c r="F36">
        <v>9938</v>
      </c>
      <c r="G36" t="s">
        <v>393</v>
      </c>
      <c r="H36" s="1">
        <v>4240</v>
      </c>
      <c r="I36" t="s">
        <v>28</v>
      </c>
      <c r="J36" s="1">
        <v>507277.83</v>
      </c>
      <c r="K36" t="s">
        <v>26</v>
      </c>
      <c r="L36">
        <v>80617</v>
      </c>
      <c r="M36" t="s">
        <v>394</v>
      </c>
      <c r="O36">
        <v>1</v>
      </c>
      <c r="P36" t="s">
        <v>395</v>
      </c>
      <c r="Q36" t="s">
        <v>396</v>
      </c>
    </row>
    <row r="37" spans="1:17" x14ac:dyDescent="0.25">
      <c r="A37">
        <v>8003879954</v>
      </c>
      <c r="B37">
        <v>10</v>
      </c>
      <c r="C37">
        <v>29062017</v>
      </c>
      <c r="D37">
        <v>299</v>
      </c>
      <c r="E37" t="s">
        <v>30</v>
      </c>
      <c r="F37">
        <v>9938</v>
      </c>
      <c r="G37" t="s">
        <v>393</v>
      </c>
      <c r="H37" s="1">
        <v>0.01</v>
      </c>
      <c r="I37" t="s">
        <v>28</v>
      </c>
      <c r="J37" s="1">
        <v>511517.83</v>
      </c>
      <c r="K37" t="s">
        <v>26</v>
      </c>
      <c r="L37">
        <v>80617</v>
      </c>
      <c r="M37" t="s">
        <v>397</v>
      </c>
      <c r="O37">
        <v>1</v>
      </c>
    </row>
    <row r="38" spans="1:17" x14ac:dyDescent="0.25">
      <c r="A38">
        <v>8003879954</v>
      </c>
      <c r="B38">
        <v>9</v>
      </c>
      <c r="C38">
        <v>29062017</v>
      </c>
      <c r="D38">
        <v>489</v>
      </c>
      <c r="E38" t="s">
        <v>31</v>
      </c>
      <c r="F38">
        <v>9938</v>
      </c>
      <c r="G38" t="s">
        <v>393</v>
      </c>
      <c r="H38" s="1">
        <v>0.1</v>
      </c>
      <c r="I38" t="s">
        <v>28</v>
      </c>
      <c r="J38" s="1">
        <v>511517.84</v>
      </c>
      <c r="K38" t="s">
        <v>26</v>
      </c>
      <c r="L38">
        <v>80617</v>
      </c>
      <c r="M38" t="s">
        <v>397</v>
      </c>
      <c r="O38">
        <v>1</v>
      </c>
    </row>
    <row r="39" spans="1:17" x14ac:dyDescent="0.25">
      <c r="A39">
        <v>8003879954</v>
      </c>
      <c r="B39">
        <v>8</v>
      </c>
      <c r="C39">
        <v>29062017</v>
      </c>
      <c r="D39">
        <v>341</v>
      </c>
      <c r="E39" t="s">
        <v>29</v>
      </c>
      <c r="F39">
        <v>9938</v>
      </c>
      <c r="G39" t="s">
        <v>398</v>
      </c>
      <c r="H39" s="1">
        <v>4288.76</v>
      </c>
      <c r="I39" t="s">
        <v>28</v>
      </c>
      <c r="J39" s="1">
        <v>511517.94</v>
      </c>
      <c r="K39" t="s">
        <v>26</v>
      </c>
      <c r="L39">
        <v>80614</v>
      </c>
      <c r="M39" t="s">
        <v>101</v>
      </c>
      <c r="O39">
        <v>1</v>
      </c>
      <c r="P39" t="s">
        <v>399</v>
      </c>
      <c r="Q39" t="s">
        <v>400</v>
      </c>
    </row>
    <row r="40" spans="1:17" x14ac:dyDescent="0.25">
      <c r="A40">
        <v>8003879954</v>
      </c>
      <c r="B40">
        <v>7</v>
      </c>
      <c r="C40">
        <v>29062017</v>
      </c>
      <c r="D40">
        <v>299</v>
      </c>
      <c r="E40" t="s">
        <v>30</v>
      </c>
      <c r="F40">
        <v>9938</v>
      </c>
      <c r="G40" t="s">
        <v>398</v>
      </c>
      <c r="H40" s="1">
        <v>0.01</v>
      </c>
      <c r="I40" t="s">
        <v>28</v>
      </c>
      <c r="J40" s="1">
        <v>515806.7</v>
      </c>
      <c r="K40" t="s">
        <v>26</v>
      </c>
      <c r="L40">
        <v>80614</v>
      </c>
      <c r="M40" t="s">
        <v>401</v>
      </c>
      <c r="O40">
        <v>1</v>
      </c>
    </row>
    <row r="41" spans="1:17" x14ac:dyDescent="0.25">
      <c r="A41">
        <v>8003879954</v>
      </c>
      <c r="B41">
        <v>6</v>
      </c>
      <c r="C41">
        <v>29062017</v>
      </c>
      <c r="D41">
        <v>489</v>
      </c>
      <c r="E41" t="s">
        <v>31</v>
      </c>
      <c r="F41">
        <v>9938</v>
      </c>
      <c r="G41" t="s">
        <v>398</v>
      </c>
      <c r="H41" s="1">
        <v>0.1</v>
      </c>
      <c r="I41" t="s">
        <v>28</v>
      </c>
      <c r="J41" s="1">
        <v>515806.71</v>
      </c>
      <c r="K41" t="s">
        <v>26</v>
      </c>
      <c r="L41">
        <v>80614</v>
      </c>
      <c r="M41" t="s">
        <v>401</v>
      </c>
      <c r="O41">
        <v>1</v>
      </c>
    </row>
    <row r="42" spans="1:17" x14ac:dyDescent="0.25">
      <c r="A42">
        <v>8003879954</v>
      </c>
      <c r="B42">
        <v>5</v>
      </c>
      <c r="C42">
        <v>29062017</v>
      </c>
      <c r="D42">
        <v>60</v>
      </c>
      <c r="E42" t="s">
        <v>43</v>
      </c>
      <c r="F42">
        <v>9938</v>
      </c>
      <c r="G42" t="s">
        <v>402</v>
      </c>
      <c r="H42" s="1">
        <v>3220</v>
      </c>
      <c r="I42" t="s">
        <v>28</v>
      </c>
      <c r="J42" s="1">
        <v>515806.81</v>
      </c>
      <c r="K42" t="s">
        <v>26</v>
      </c>
      <c r="L42">
        <v>80439</v>
      </c>
      <c r="M42" t="s">
        <v>403</v>
      </c>
      <c r="O42">
        <v>1</v>
      </c>
      <c r="P42" t="s">
        <v>404</v>
      </c>
      <c r="Q42" t="s">
        <v>405</v>
      </c>
    </row>
    <row r="43" spans="1:17" x14ac:dyDescent="0.25">
      <c r="A43">
        <v>8003879954</v>
      </c>
      <c r="B43">
        <v>4</v>
      </c>
      <c r="C43">
        <v>29062017</v>
      </c>
      <c r="D43">
        <v>343</v>
      </c>
      <c r="E43" t="s">
        <v>49</v>
      </c>
      <c r="F43">
        <v>9938</v>
      </c>
      <c r="G43" t="s">
        <v>406</v>
      </c>
      <c r="H43" s="1">
        <v>724</v>
      </c>
      <c r="I43" t="s">
        <v>28</v>
      </c>
      <c r="J43" s="1">
        <v>519026.81</v>
      </c>
      <c r="K43" t="s">
        <v>26</v>
      </c>
      <c r="L43">
        <v>80143</v>
      </c>
      <c r="M43" t="s">
        <v>152</v>
      </c>
      <c r="O43">
        <v>1</v>
      </c>
    </row>
    <row r="44" spans="1:17" x14ac:dyDescent="0.25">
      <c r="A44">
        <v>8003879954</v>
      </c>
      <c r="B44">
        <v>3</v>
      </c>
      <c r="C44">
        <v>29062017</v>
      </c>
      <c r="D44">
        <v>343</v>
      </c>
      <c r="E44" t="s">
        <v>49</v>
      </c>
      <c r="F44">
        <v>9938</v>
      </c>
      <c r="G44" t="s">
        <v>407</v>
      </c>
      <c r="H44" s="1">
        <v>50.15</v>
      </c>
      <c r="I44" t="s">
        <v>28</v>
      </c>
      <c r="J44" s="1">
        <v>519750.81</v>
      </c>
      <c r="K44" t="s">
        <v>26</v>
      </c>
      <c r="L44">
        <v>80126</v>
      </c>
      <c r="M44" t="s">
        <v>408</v>
      </c>
      <c r="O44">
        <v>1</v>
      </c>
    </row>
    <row r="45" spans="1:17" x14ac:dyDescent="0.25">
      <c r="A45">
        <v>8003879954</v>
      </c>
      <c r="B45">
        <v>2</v>
      </c>
      <c r="C45">
        <v>29062017</v>
      </c>
      <c r="D45">
        <v>343</v>
      </c>
      <c r="E45" t="s">
        <v>49</v>
      </c>
      <c r="F45">
        <v>9938</v>
      </c>
      <c r="G45" t="s">
        <v>409</v>
      </c>
      <c r="H45" s="1">
        <v>1289.0999999999999</v>
      </c>
      <c r="I45" t="s">
        <v>28</v>
      </c>
      <c r="J45" s="1">
        <v>519800.96</v>
      </c>
      <c r="K45" t="s">
        <v>26</v>
      </c>
      <c r="L45">
        <v>80124</v>
      </c>
      <c r="M45" t="s">
        <v>152</v>
      </c>
      <c r="O45">
        <v>1</v>
      </c>
    </row>
    <row r="46" spans="1:17" x14ac:dyDescent="0.25">
      <c r="A46">
        <v>8003879954</v>
      </c>
      <c r="B46">
        <v>1</v>
      </c>
      <c r="C46">
        <v>29062017</v>
      </c>
      <c r="D46">
        <v>343</v>
      </c>
      <c r="E46" t="s">
        <v>49</v>
      </c>
      <c r="F46">
        <v>9938</v>
      </c>
      <c r="G46" t="s">
        <v>410</v>
      </c>
      <c r="H46" s="1">
        <v>20.8</v>
      </c>
      <c r="I46" t="s">
        <v>28</v>
      </c>
      <c r="J46" s="1">
        <v>521090.06</v>
      </c>
      <c r="K46" t="s">
        <v>26</v>
      </c>
      <c r="L46">
        <v>80105</v>
      </c>
      <c r="M46" t="s">
        <v>150</v>
      </c>
      <c r="O46">
        <v>1</v>
      </c>
    </row>
    <row r="47" spans="1:17" x14ac:dyDescent="0.25">
      <c r="A47">
        <v>8003879954</v>
      </c>
      <c r="B47">
        <v>1</v>
      </c>
      <c r="C47">
        <v>28062017</v>
      </c>
      <c r="D47">
        <v>5</v>
      </c>
      <c r="E47" t="s">
        <v>42</v>
      </c>
      <c r="H47" s="1">
        <v>500000</v>
      </c>
      <c r="I47" t="s">
        <v>26</v>
      </c>
      <c r="J47" s="1">
        <v>521110.86</v>
      </c>
      <c r="K47" t="s">
        <v>26</v>
      </c>
      <c r="L47">
        <v>151324</v>
      </c>
      <c r="M47" t="s">
        <v>411</v>
      </c>
      <c r="O47">
        <v>1</v>
      </c>
      <c r="P47" t="s">
        <v>412</v>
      </c>
      <c r="Q47" t="s">
        <v>59</v>
      </c>
    </row>
    <row r="48" spans="1:17" x14ac:dyDescent="0.25">
      <c r="A48">
        <v>8003879954</v>
      </c>
      <c r="B48">
        <v>6</v>
      </c>
      <c r="C48">
        <v>23062017</v>
      </c>
      <c r="D48">
        <v>341</v>
      </c>
      <c r="E48" t="s">
        <v>29</v>
      </c>
      <c r="F48">
        <v>9938</v>
      </c>
      <c r="G48" t="s">
        <v>413</v>
      </c>
      <c r="H48" s="1">
        <v>9000</v>
      </c>
      <c r="I48" t="s">
        <v>28</v>
      </c>
      <c r="J48" s="1">
        <v>21110.86</v>
      </c>
      <c r="K48" t="s">
        <v>26</v>
      </c>
      <c r="L48">
        <v>154102</v>
      </c>
      <c r="M48" t="s">
        <v>83</v>
      </c>
      <c r="O48">
        <v>1</v>
      </c>
      <c r="P48" t="s">
        <v>414</v>
      </c>
      <c r="Q48" t="s">
        <v>415</v>
      </c>
    </row>
    <row r="49" spans="1:17" x14ac:dyDescent="0.25">
      <c r="A49">
        <v>8003879954</v>
      </c>
      <c r="B49">
        <v>5</v>
      </c>
      <c r="C49">
        <v>23062017</v>
      </c>
      <c r="D49">
        <v>299</v>
      </c>
      <c r="E49" t="s">
        <v>30</v>
      </c>
      <c r="F49">
        <v>9938</v>
      </c>
      <c r="G49" t="s">
        <v>413</v>
      </c>
      <c r="H49" s="1">
        <v>0.01</v>
      </c>
      <c r="I49" t="s">
        <v>28</v>
      </c>
      <c r="J49" s="1">
        <v>30110.86</v>
      </c>
      <c r="K49" t="s">
        <v>26</v>
      </c>
      <c r="L49">
        <v>154102</v>
      </c>
      <c r="M49" t="s">
        <v>416</v>
      </c>
      <c r="O49">
        <v>1</v>
      </c>
    </row>
    <row r="50" spans="1:17" x14ac:dyDescent="0.25">
      <c r="A50">
        <v>8003879954</v>
      </c>
      <c r="B50">
        <v>4</v>
      </c>
      <c r="C50">
        <v>23062017</v>
      </c>
      <c r="D50">
        <v>489</v>
      </c>
      <c r="E50" t="s">
        <v>31</v>
      </c>
      <c r="F50">
        <v>9938</v>
      </c>
      <c r="G50" t="s">
        <v>413</v>
      </c>
      <c r="H50" s="1">
        <v>0.1</v>
      </c>
      <c r="I50" t="s">
        <v>28</v>
      </c>
      <c r="J50" s="1">
        <v>30110.87</v>
      </c>
      <c r="K50" t="s">
        <v>26</v>
      </c>
      <c r="L50">
        <v>154102</v>
      </c>
      <c r="M50" t="s">
        <v>416</v>
      </c>
      <c r="O50">
        <v>1</v>
      </c>
    </row>
    <row r="51" spans="1:17" x14ac:dyDescent="0.25">
      <c r="A51">
        <v>8003879954</v>
      </c>
      <c r="B51">
        <v>3</v>
      </c>
      <c r="C51">
        <v>23062017</v>
      </c>
      <c r="D51">
        <v>299</v>
      </c>
      <c r="E51" t="s">
        <v>30</v>
      </c>
      <c r="F51">
        <v>2001</v>
      </c>
      <c r="G51" t="s">
        <v>417</v>
      </c>
      <c r="H51" s="1">
        <v>1.89</v>
      </c>
      <c r="I51" t="s">
        <v>28</v>
      </c>
      <c r="J51" s="1">
        <v>30110.97</v>
      </c>
      <c r="K51" t="s">
        <v>26</v>
      </c>
      <c r="L51">
        <v>70802</v>
      </c>
      <c r="M51" t="s">
        <v>417</v>
      </c>
      <c r="O51">
        <v>1</v>
      </c>
    </row>
    <row r="52" spans="1:17" x14ac:dyDescent="0.25">
      <c r="A52">
        <v>8003879954</v>
      </c>
      <c r="B52">
        <v>2</v>
      </c>
      <c r="C52">
        <v>23062017</v>
      </c>
      <c r="D52">
        <v>489</v>
      </c>
      <c r="E52" t="s">
        <v>50</v>
      </c>
      <c r="F52">
        <v>2001</v>
      </c>
      <c r="G52" t="s">
        <v>417</v>
      </c>
      <c r="H52" s="1">
        <v>31.5</v>
      </c>
      <c r="I52" t="s">
        <v>28</v>
      </c>
      <c r="J52" s="1">
        <v>30112.86</v>
      </c>
      <c r="K52" t="s">
        <v>26</v>
      </c>
      <c r="L52">
        <v>70802</v>
      </c>
      <c r="M52" t="s">
        <v>417</v>
      </c>
      <c r="O52">
        <v>1</v>
      </c>
    </row>
    <row r="53" spans="1:17" x14ac:dyDescent="0.25">
      <c r="A53">
        <v>8003879954</v>
      </c>
      <c r="B53">
        <v>1</v>
      </c>
      <c r="C53">
        <v>23062017</v>
      </c>
      <c r="D53">
        <v>341</v>
      </c>
      <c r="E53" t="s">
        <v>51</v>
      </c>
      <c r="F53">
        <v>2001</v>
      </c>
      <c r="G53" t="s">
        <v>418</v>
      </c>
      <c r="H53" s="1">
        <v>57512.63</v>
      </c>
      <c r="I53" t="s">
        <v>28</v>
      </c>
      <c r="J53" s="1">
        <v>30144.36</v>
      </c>
      <c r="K53" t="s">
        <v>26</v>
      </c>
      <c r="L53">
        <v>70753</v>
      </c>
      <c r="M53" t="s">
        <v>418</v>
      </c>
      <c r="O53">
        <v>1</v>
      </c>
      <c r="Q53" t="s">
        <v>359</v>
      </c>
    </row>
    <row r="54" spans="1:17" x14ac:dyDescent="0.25">
      <c r="A54">
        <v>8003879954</v>
      </c>
      <c r="B54">
        <v>40</v>
      </c>
      <c r="C54">
        <v>22062017</v>
      </c>
      <c r="D54">
        <v>299</v>
      </c>
      <c r="E54" t="str">
        <f>"GST"</f>
        <v>GST</v>
      </c>
      <c r="H54" s="1">
        <v>0.03</v>
      </c>
      <c r="I54" t="s">
        <v>28</v>
      </c>
      <c r="J54" s="1">
        <v>87656.99</v>
      </c>
      <c r="K54" t="s">
        <v>26</v>
      </c>
      <c r="L54">
        <v>12733</v>
      </c>
      <c r="M54" t="str">
        <f>""</f>
        <v/>
      </c>
      <c r="O54">
        <v>1</v>
      </c>
    </row>
    <row r="55" spans="1:17" x14ac:dyDescent="0.25">
      <c r="A55">
        <v>8003879954</v>
      </c>
      <c r="B55">
        <v>39</v>
      </c>
      <c r="C55">
        <v>22062017</v>
      </c>
      <c r="D55">
        <v>819</v>
      </c>
      <c r="E55" t="str">
        <f>"CHQ PROCESSING FEE"</f>
        <v>CHQ PROCESSING FEE</v>
      </c>
      <c r="H55" s="1">
        <v>0.5</v>
      </c>
      <c r="I55" t="s">
        <v>28</v>
      </c>
      <c r="J55" s="1">
        <v>87657.02</v>
      </c>
      <c r="K55" t="s">
        <v>26</v>
      </c>
      <c r="L55">
        <v>12733</v>
      </c>
      <c r="M55" t="str">
        <f>""</f>
        <v/>
      </c>
      <c r="O55">
        <v>1</v>
      </c>
    </row>
    <row r="56" spans="1:17" x14ac:dyDescent="0.25">
      <c r="A56">
        <v>8003879954</v>
      </c>
      <c r="B56">
        <v>38</v>
      </c>
      <c r="C56">
        <v>22062017</v>
      </c>
      <c r="D56">
        <v>321</v>
      </c>
      <c r="E56" t="str">
        <f>"HOUSE CHQ DR"</f>
        <v>HOUSE CHQ DR</v>
      </c>
      <c r="F56">
        <v>0</v>
      </c>
      <c r="G56" t="str">
        <f>"00687950"</f>
        <v>00687950</v>
      </c>
      <c r="H56" s="1">
        <v>22000</v>
      </c>
      <c r="I56" t="s">
        <v>28</v>
      </c>
      <c r="J56" s="1">
        <v>87657.52</v>
      </c>
      <c r="K56" t="s">
        <v>26</v>
      </c>
      <c r="L56">
        <v>12618</v>
      </c>
      <c r="M56" t="str">
        <f>""</f>
        <v/>
      </c>
      <c r="O56">
        <v>1</v>
      </c>
    </row>
    <row r="57" spans="1:17" x14ac:dyDescent="0.25">
      <c r="A57">
        <v>8003879954</v>
      </c>
      <c r="B57">
        <v>37</v>
      </c>
      <c r="C57">
        <v>22062017</v>
      </c>
      <c r="D57">
        <v>60</v>
      </c>
      <c r="E57" t="str">
        <f>"TR TO C/A"</f>
        <v>TR TO C/A</v>
      </c>
      <c r="F57">
        <v>9938</v>
      </c>
      <c r="G57" t="str">
        <f>"18032158"</f>
        <v>18032158</v>
      </c>
      <c r="H57" s="1">
        <v>52.5</v>
      </c>
      <c r="I57" t="s">
        <v>28</v>
      </c>
      <c r="J57" s="1">
        <v>109657.52</v>
      </c>
      <c r="K57" t="s">
        <v>26</v>
      </c>
      <c r="L57">
        <v>163441</v>
      </c>
      <c r="M57" t="str">
        <f>"SALES-MAY'17 TROPICAL SPICE GARD"</f>
        <v>SALES-MAY'17 TROPICAL SPICE GARD</v>
      </c>
      <c r="O57">
        <v>1</v>
      </c>
      <c r="P57" t="str">
        <f>"PGTEFT2390"</f>
        <v>PGTEFT2390</v>
      </c>
      <c r="Q57" t="str">
        <f>"TSGINV1705892"</f>
        <v>TSGINV1705892</v>
      </c>
    </row>
    <row r="58" spans="1:17" x14ac:dyDescent="0.25">
      <c r="A58">
        <v>8003879954</v>
      </c>
      <c r="B58">
        <v>36</v>
      </c>
      <c r="C58">
        <v>22062017</v>
      </c>
      <c r="D58">
        <v>341</v>
      </c>
      <c r="E58" t="str">
        <f>"TR IBG"</f>
        <v>TR IBG</v>
      </c>
      <c r="F58">
        <v>9938</v>
      </c>
      <c r="G58" t="str">
        <f>"18031799"</f>
        <v>18031799</v>
      </c>
      <c r="H58" s="1">
        <v>47.55</v>
      </c>
      <c r="I58" t="s">
        <v>28</v>
      </c>
      <c r="J58" s="1">
        <v>109710.02</v>
      </c>
      <c r="K58" t="s">
        <v>26</v>
      </c>
      <c r="L58">
        <v>163441</v>
      </c>
      <c r="M58" t="str">
        <f>"WEB ASP SDN BHD"</f>
        <v>WEB ASP SDN BHD</v>
      </c>
      <c r="O58">
        <v>1</v>
      </c>
      <c r="P58" t="str">
        <f>"PGTEFT2392"</f>
        <v>PGTEFT2392</v>
      </c>
      <c r="Q58" t="str">
        <f>"ACC 1618-3542"</f>
        <v>ACC 1618-3542</v>
      </c>
    </row>
    <row r="59" spans="1:17" x14ac:dyDescent="0.25">
      <c r="A59">
        <v>8003879954</v>
      </c>
      <c r="B59">
        <v>35</v>
      </c>
      <c r="C59">
        <v>22062017</v>
      </c>
      <c r="D59">
        <v>299</v>
      </c>
      <c r="E59" t="str">
        <f>"GST"</f>
        <v>GST</v>
      </c>
      <c r="F59">
        <v>9938</v>
      </c>
      <c r="G59" t="str">
        <f>"18031799"</f>
        <v>18031799</v>
      </c>
      <c r="H59" s="1">
        <v>0.01</v>
      </c>
      <c r="I59" t="s">
        <v>28</v>
      </c>
      <c r="J59" s="1">
        <v>109757.57</v>
      </c>
      <c r="K59" t="s">
        <v>26</v>
      </c>
      <c r="L59">
        <v>163441</v>
      </c>
      <c r="M59" t="str">
        <f>"PGTEFT2392          ACC 1618-3542"</f>
        <v>PGTEFT2392          ACC 1618-3542</v>
      </c>
      <c r="O59">
        <v>1</v>
      </c>
    </row>
    <row r="60" spans="1:17" x14ac:dyDescent="0.25">
      <c r="A60">
        <v>8003879954</v>
      </c>
      <c r="B60">
        <v>34</v>
      </c>
      <c r="C60">
        <v>22062017</v>
      </c>
      <c r="D60">
        <v>489</v>
      </c>
      <c r="E60" t="str">
        <f>"OTHER TRANSFER FEE"</f>
        <v>OTHER TRANSFER FEE</v>
      </c>
      <c r="F60">
        <v>9938</v>
      </c>
      <c r="G60" t="str">
        <f>"18031799"</f>
        <v>18031799</v>
      </c>
      <c r="H60" s="1">
        <v>0.1</v>
      </c>
      <c r="I60" t="s">
        <v>28</v>
      </c>
      <c r="J60" s="1">
        <v>109757.58</v>
      </c>
      <c r="K60" t="s">
        <v>26</v>
      </c>
      <c r="L60">
        <v>163441</v>
      </c>
      <c r="M60" t="str">
        <f>"PGTEFT2392          ACC 1618-3542"</f>
        <v>PGTEFT2392          ACC 1618-3542</v>
      </c>
      <c r="O60">
        <v>1</v>
      </c>
    </row>
    <row r="61" spans="1:17" x14ac:dyDescent="0.25">
      <c r="A61">
        <v>8003879954</v>
      </c>
      <c r="B61">
        <v>33</v>
      </c>
      <c r="C61">
        <v>22062017</v>
      </c>
      <c r="D61">
        <v>60</v>
      </c>
      <c r="E61" t="str">
        <f>"TR TO C/A"</f>
        <v>TR TO C/A</v>
      </c>
      <c r="F61">
        <v>9938</v>
      </c>
      <c r="G61" t="str">
        <f>"18031522"</f>
        <v>18031522</v>
      </c>
      <c r="H61" s="1">
        <v>52.04</v>
      </c>
      <c r="I61" t="s">
        <v>28</v>
      </c>
      <c r="J61" s="1">
        <v>109757.68</v>
      </c>
      <c r="K61" t="s">
        <v>26</v>
      </c>
      <c r="L61">
        <v>163441</v>
      </c>
      <c r="M61" t="str">
        <f>"C285195105 AKAUN KJAAN MSIA PU"</f>
        <v>C285195105 AKAUN KJAAN MSIA PU</v>
      </c>
      <c r="O61">
        <v>1</v>
      </c>
      <c r="P61" t="str">
        <f>"PGTEFT2393"</f>
        <v>PGTEFT2393</v>
      </c>
      <c r="Q61" t="str">
        <f>"CODE 155 YR2016"</f>
        <v>CODE 155 YR2016</v>
      </c>
    </row>
    <row r="62" spans="1:17" x14ac:dyDescent="0.25">
      <c r="A62">
        <v>8003879954</v>
      </c>
      <c r="B62">
        <v>32</v>
      </c>
      <c r="C62">
        <v>22062017</v>
      </c>
      <c r="D62">
        <v>341</v>
      </c>
      <c r="E62" t="str">
        <f>"TR IBG"</f>
        <v>TR IBG</v>
      </c>
      <c r="F62">
        <v>9938</v>
      </c>
      <c r="G62" t="str">
        <f>"18032223"</f>
        <v>18032223</v>
      </c>
      <c r="H62" s="1">
        <v>90</v>
      </c>
      <c r="I62" t="s">
        <v>28</v>
      </c>
      <c r="J62" s="1">
        <v>109809.72</v>
      </c>
      <c r="K62" t="s">
        <v>26</v>
      </c>
      <c r="L62">
        <v>163435</v>
      </c>
      <c r="M62" t="str">
        <f>"LIANG CHOW MING"</f>
        <v>LIANG CHOW MING</v>
      </c>
      <c r="O62">
        <v>1</v>
      </c>
      <c r="P62" t="str">
        <f>"PGTEFT2389"</f>
        <v>PGTEFT2389</v>
      </c>
      <c r="Q62" t="str">
        <f>"INV19581"</f>
        <v>INV19581</v>
      </c>
    </row>
    <row r="63" spans="1:17" x14ac:dyDescent="0.25">
      <c r="A63">
        <v>8003879954</v>
      </c>
      <c r="B63">
        <v>31</v>
      </c>
      <c r="C63">
        <v>22062017</v>
      </c>
      <c r="D63">
        <v>299</v>
      </c>
      <c r="E63" t="str">
        <f>"GST"</f>
        <v>GST</v>
      </c>
      <c r="F63">
        <v>9938</v>
      </c>
      <c r="G63" t="str">
        <f>"18032223"</f>
        <v>18032223</v>
      </c>
      <c r="H63" s="1">
        <v>0.01</v>
      </c>
      <c r="I63" t="s">
        <v>28</v>
      </c>
      <c r="J63" s="1">
        <v>109899.72</v>
      </c>
      <c r="K63" t="s">
        <v>26</v>
      </c>
      <c r="L63">
        <v>163435</v>
      </c>
      <c r="M63" t="str">
        <f>"PGTEFT2389          INV19581"</f>
        <v>PGTEFT2389          INV19581</v>
      </c>
      <c r="O63">
        <v>1</v>
      </c>
    </row>
    <row r="64" spans="1:17" x14ac:dyDescent="0.25">
      <c r="A64">
        <v>8003879954</v>
      </c>
      <c r="B64">
        <v>30</v>
      </c>
      <c r="C64">
        <v>22062017</v>
      </c>
      <c r="D64">
        <v>489</v>
      </c>
      <c r="E64" t="str">
        <f>"OTHER TRANSFER FEE"</f>
        <v>OTHER TRANSFER FEE</v>
      </c>
      <c r="F64">
        <v>9938</v>
      </c>
      <c r="G64" t="str">
        <f>"18032223"</f>
        <v>18032223</v>
      </c>
      <c r="H64" s="1">
        <v>0.1</v>
      </c>
      <c r="I64" t="s">
        <v>28</v>
      </c>
      <c r="J64" s="1">
        <v>109899.73</v>
      </c>
      <c r="K64" t="s">
        <v>26</v>
      </c>
      <c r="L64">
        <v>163435</v>
      </c>
      <c r="M64" t="str">
        <f>"PGTEFT2389          INV19581"</f>
        <v>PGTEFT2389          INV19581</v>
      </c>
      <c r="O64">
        <v>1</v>
      </c>
    </row>
    <row r="65" spans="1:17" x14ac:dyDescent="0.25">
      <c r="A65">
        <v>8003879954</v>
      </c>
      <c r="B65">
        <v>29</v>
      </c>
      <c r="C65">
        <v>22062017</v>
      </c>
      <c r="D65">
        <v>341</v>
      </c>
      <c r="E65" t="str">
        <f>"TR IBG"</f>
        <v>TR IBG</v>
      </c>
      <c r="F65">
        <v>9938</v>
      </c>
      <c r="G65" t="str">
        <f>"18031637"</f>
        <v>18031637</v>
      </c>
      <c r="H65" s="1">
        <v>686.24</v>
      </c>
      <c r="I65" t="s">
        <v>28</v>
      </c>
      <c r="J65" s="1">
        <v>109899.83</v>
      </c>
      <c r="K65" t="s">
        <v>26</v>
      </c>
      <c r="L65">
        <v>163435</v>
      </c>
      <c r="M65" t="str">
        <f>"ELITE TRANSLATION AS"</f>
        <v>ELITE TRANSLATION AS</v>
      </c>
      <c r="O65">
        <v>1</v>
      </c>
      <c r="P65" t="str">
        <f>"PGTEFT2395"</f>
        <v>PGTEFT2395</v>
      </c>
      <c r="Q65" t="str">
        <f>"S1704025"</f>
        <v>S1704025</v>
      </c>
    </row>
    <row r="66" spans="1:17" x14ac:dyDescent="0.25">
      <c r="A66">
        <v>8003879954</v>
      </c>
      <c r="B66">
        <v>28</v>
      </c>
      <c r="C66">
        <v>22062017</v>
      </c>
      <c r="D66">
        <v>299</v>
      </c>
      <c r="E66" t="str">
        <f>"GST"</f>
        <v>GST</v>
      </c>
      <c r="F66">
        <v>9938</v>
      </c>
      <c r="G66" t="str">
        <f>"18031637"</f>
        <v>18031637</v>
      </c>
      <c r="H66" s="1">
        <v>0.01</v>
      </c>
      <c r="I66" t="s">
        <v>28</v>
      </c>
      <c r="J66" s="1">
        <v>110586.07</v>
      </c>
      <c r="K66" t="s">
        <v>26</v>
      </c>
      <c r="L66">
        <v>163435</v>
      </c>
      <c r="M66" t="str">
        <f>"PGTEFT2395          S1704025"</f>
        <v>PGTEFT2395          S1704025</v>
      </c>
      <c r="O66">
        <v>1</v>
      </c>
    </row>
    <row r="67" spans="1:17" x14ac:dyDescent="0.25">
      <c r="A67">
        <v>8003879954</v>
      </c>
      <c r="B67">
        <v>27</v>
      </c>
      <c r="C67">
        <v>22062017</v>
      </c>
      <c r="D67">
        <v>489</v>
      </c>
      <c r="E67" t="str">
        <f>"OTHER TRANSFER FEE"</f>
        <v>OTHER TRANSFER FEE</v>
      </c>
      <c r="F67">
        <v>9938</v>
      </c>
      <c r="G67" t="str">
        <f>"18031637"</f>
        <v>18031637</v>
      </c>
      <c r="H67" s="1">
        <v>0.1</v>
      </c>
      <c r="I67" t="s">
        <v>28</v>
      </c>
      <c r="J67" s="1">
        <v>110586.08</v>
      </c>
      <c r="K67" t="s">
        <v>26</v>
      </c>
      <c r="L67">
        <v>163435</v>
      </c>
      <c r="M67" t="str">
        <f>"PGTEFT2395          S1704025"</f>
        <v>PGTEFT2395          S1704025</v>
      </c>
      <c r="O67">
        <v>1</v>
      </c>
    </row>
    <row r="68" spans="1:17" x14ac:dyDescent="0.25">
      <c r="A68">
        <v>8003879954</v>
      </c>
      <c r="B68">
        <v>26</v>
      </c>
      <c r="C68">
        <v>22062017</v>
      </c>
      <c r="D68">
        <v>345</v>
      </c>
      <c r="E68" t="str">
        <f>"TR TO SAVINGS"</f>
        <v>TR TO SAVINGS</v>
      </c>
      <c r="F68">
        <v>9938</v>
      </c>
      <c r="G68" t="str">
        <f>"18031922"</f>
        <v>18031922</v>
      </c>
      <c r="H68" s="1">
        <v>1870.48</v>
      </c>
      <c r="I68" t="s">
        <v>28</v>
      </c>
      <c r="J68" s="1">
        <v>110586.18</v>
      </c>
      <c r="K68" t="s">
        <v>26</v>
      </c>
      <c r="L68">
        <v>163435</v>
      </c>
      <c r="M68" t="str">
        <f>"WTM, MAS UK FAM, SQ  YOON PAULINE"</f>
        <v>WTM, MAS UK FAM, SQ  YOON PAULINE</v>
      </c>
      <c r="O68">
        <v>1</v>
      </c>
      <c r="P68" t="str">
        <f>"PGTEFT2391"</f>
        <v>PGTEFT2391</v>
      </c>
      <c r="Q68" t="str">
        <f>"CLAIMS"</f>
        <v>CLAIMS</v>
      </c>
    </row>
    <row r="69" spans="1:17" x14ac:dyDescent="0.25">
      <c r="A69">
        <v>8003879954</v>
      </c>
      <c r="B69">
        <v>25</v>
      </c>
      <c r="C69">
        <v>22062017</v>
      </c>
      <c r="D69">
        <v>60</v>
      </c>
      <c r="E69" t="str">
        <f>"TR TO C/A"</f>
        <v>TR TO C/A</v>
      </c>
      <c r="F69">
        <v>9938</v>
      </c>
      <c r="G69" t="str">
        <f>"18030938"</f>
        <v>18030938</v>
      </c>
      <c r="H69" s="1">
        <v>1486.12</v>
      </c>
      <c r="I69" t="s">
        <v>28</v>
      </c>
      <c r="J69" s="1">
        <v>112456.66</v>
      </c>
      <c r="K69" t="s">
        <v>26</v>
      </c>
      <c r="L69">
        <v>163435</v>
      </c>
      <c r="M69" t="str">
        <f>"C285195105 AKAUN KJAAN MSIA PU"</f>
        <v>C285195105 AKAUN KJAAN MSIA PU</v>
      </c>
      <c r="O69">
        <v>1</v>
      </c>
      <c r="P69" t="str">
        <f>"PGTEFT2394"</f>
        <v>PGTEFT2394</v>
      </c>
      <c r="Q69" t="str">
        <f>"CODE 086 2016"</f>
        <v>CODE 086 2016</v>
      </c>
    </row>
    <row r="70" spans="1:17" x14ac:dyDescent="0.25">
      <c r="A70">
        <v>8003879954</v>
      </c>
      <c r="B70">
        <v>24</v>
      </c>
      <c r="C70">
        <v>22062017</v>
      </c>
      <c r="D70">
        <v>60</v>
      </c>
      <c r="E70" t="str">
        <f>"TR TO C/A"</f>
        <v>TR TO C/A</v>
      </c>
      <c r="F70">
        <v>9938</v>
      </c>
      <c r="G70" t="str">
        <f>"18033444"</f>
        <v>18033444</v>
      </c>
      <c r="H70" s="1">
        <v>3413</v>
      </c>
      <c r="I70" t="s">
        <v>28</v>
      </c>
      <c r="J70" s="1">
        <v>113942.78</v>
      </c>
      <c r="K70" t="s">
        <v>26</v>
      </c>
      <c r="L70">
        <v>163010</v>
      </c>
      <c r="M70" t="str">
        <f>"HOTEL ACCOMMODATION HANA TOUR SERVICE ("</f>
        <v>HOTEL ACCOMMODATION HANA TOUR SERVICE (</v>
      </c>
      <c r="O70">
        <v>1</v>
      </c>
      <c r="P70" t="str">
        <f>"PGTEFT2384"</f>
        <v>PGTEFT2384</v>
      </c>
      <c r="Q70" t="str">
        <f>"B175014 B175015"</f>
        <v>B175014 B175015</v>
      </c>
    </row>
    <row r="71" spans="1:17" x14ac:dyDescent="0.25">
      <c r="A71">
        <v>8003879954</v>
      </c>
      <c r="B71">
        <v>23</v>
      </c>
      <c r="C71">
        <v>22062017</v>
      </c>
      <c r="D71">
        <v>345</v>
      </c>
      <c r="E71" t="str">
        <f>"TR TO SAVINGS"</f>
        <v>TR TO SAVINGS</v>
      </c>
      <c r="F71">
        <v>9938</v>
      </c>
      <c r="G71" t="str">
        <f>"18032344"</f>
        <v>18032344</v>
      </c>
      <c r="H71" s="1">
        <v>741.32</v>
      </c>
      <c r="I71" t="s">
        <v>28</v>
      </c>
      <c r="J71" s="1">
        <v>117355.78</v>
      </c>
      <c r="K71" t="s">
        <v>26</v>
      </c>
      <c r="L71">
        <v>163009</v>
      </c>
      <c r="M71" t="str">
        <f>"PAM PUSPAL JOANNE KHOO ROU YAN"</f>
        <v>PAM PUSPAL JOANNE KHOO ROU YAN</v>
      </c>
      <c r="O71">
        <v>1</v>
      </c>
      <c r="P71" t="str">
        <f>"PGTEFT2388"</f>
        <v>PGTEFT2388</v>
      </c>
      <c r="Q71" t="str">
        <f>"CLAIMS"</f>
        <v>CLAIMS</v>
      </c>
    </row>
    <row r="72" spans="1:17" x14ac:dyDescent="0.25">
      <c r="A72">
        <v>8003879954</v>
      </c>
      <c r="B72">
        <v>22</v>
      </c>
      <c r="C72">
        <v>22062017</v>
      </c>
      <c r="D72">
        <v>341</v>
      </c>
      <c r="E72" t="str">
        <f>"TR IBG"</f>
        <v>TR IBG</v>
      </c>
      <c r="F72">
        <v>9938</v>
      </c>
      <c r="G72" t="str">
        <f>"18032872"</f>
        <v>18032872</v>
      </c>
      <c r="H72" s="1">
        <v>850</v>
      </c>
      <c r="I72" t="s">
        <v>28</v>
      </c>
      <c r="J72" s="1">
        <v>118097.1</v>
      </c>
      <c r="K72" t="s">
        <v>26</v>
      </c>
      <c r="L72">
        <v>163009</v>
      </c>
      <c r="M72" t="str">
        <f>"JAYKODI RESOURCES"</f>
        <v>JAYKODI RESOURCES</v>
      </c>
      <c r="O72">
        <v>1</v>
      </c>
      <c r="P72" t="str">
        <f>"PGTEFT2386"</f>
        <v>PGTEFT2386</v>
      </c>
      <c r="Q72" t="str">
        <f>"CLEANING JUNE17"</f>
        <v>CLEANING JUNE17</v>
      </c>
    </row>
    <row r="73" spans="1:17" x14ac:dyDescent="0.25">
      <c r="A73">
        <v>8003879954</v>
      </c>
      <c r="B73">
        <v>21</v>
      </c>
      <c r="C73">
        <v>22062017</v>
      </c>
      <c r="D73">
        <v>299</v>
      </c>
      <c r="E73" t="str">
        <f>"GST"</f>
        <v>GST</v>
      </c>
      <c r="F73">
        <v>9938</v>
      </c>
      <c r="G73" t="str">
        <f>"18032872"</f>
        <v>18032872</v>
      </c>
      <c r="H73" s="1">
        <v>0.01</v>
      </c>
      <c r="I73" t="s">
        <v>28</v>
      </c>
      <c r="J73" s="1">
        <v>118947.1</v>
      </c>
      <c r="K73" t="s">
        <v>26</v>
      </c>
      <c r="L73">
        <v>163009</v>
      </c>
      <c r="M73" t="str">
        <f>"PGTEFT2386          CLEANING JUNE17"</f>
        <v>PGTEFT2386          CLEANING JUNE17</v>
      </c>
      <c r="O73">
        <v>1</v>
      </c>
    </row>
    <row r="74" spans="1:17" x14ac:dyDescent="0.25">
      <c r="A74">
        <v>8003879954</v>
      </c>
      <c r="B74">
        <v>20</v>
      </c>
      <c r="C74">
        <v>22062017</v>
      </c>
      <c r="D74">
        <v>489</v>
      </c>
      <c r="E74" t="str">
        <f>"OTHER TRANSFER FEE"</f>
        <v>OTHER TRANSFER FEE</v>
      </c>
      <c r="F74">
        <v>9938</v>
      </c>
      <c r="G74" t="str">
        <f>"18032872"</f>
        <v>18032872</v>
      </c>
      <c r="H74" s="1">
        <v>0.1</v>
      </c>
      <c r="I74" t="s">
        <v>28</v>
      </c>
      <c r="J74" s="1">
        <v>118947.11</v>
      </c>
      <c r="K74" t="s">
        <v>26</v>
      </c>
      <c r="L74">
        <v>163009</v>
      </c>
      <c r="M74" t="str">
        <f>"PGTEFT2386          CLEANING JUNE17"</f>
        <v>PGTEFT2386          CLEANING JUNE17</v>
      </c>
      <c r="O74">
        <v>1</v>
      </c>
    </row>
    <row r="75" spans="1:17" x14ac:dyDescent="0.25">
      <c r="A75">
        <v>8003879954</v>
      </c>
      <c r="B75">
        <v>19</v>
      </c>
      <c r="C75">
        <v>22062017</v>
      </c>
      <c r="D75">
        <v>341</v>
      </c>
      <c r="E75" t="str">
        <f>"TR IBG"</f>
        <v>TR IBG</v>
      </c>
      <c r="F75">
        <v>9938</v>
      </c>
      <c r="G75" t="str">
        <f>"18033742"</f>
        <v>18033742</v>
      </c>
      <c r="H75" s="1">
        <v>9275</v>
      </c>
      <c r="I75" t="s">
        <v>28</v>
      </c>
      <c r="J75" s="1">
        <v>118947.21</v>
      </c>
      <c r="K75" t="s">
        <v>26</v>
      </c>
      <c r="L75">
        <v>163009</v>
      </c>
      <c r="M75" t="str">
        <f>"CHEONG SENG CHAN SDN"</f>
        <v>CHEONG SENG CHAN SDN</v>
      </c>
      <c r="O75">
        <v>1</v>
      </c>
      <c r="P75" t="str">
        <f>"PGTEFT2382"</f>
        <v>PGTEFT2382</v>
      </c>
      <c r="Q75" t="str">
        <f>"INV00007333"</f>
        <v>INV00007333</v>
      </c>
    </row>
    <row r="76" spans="1:17" x14ac:dyDescent="0.25">
      <c r="A76">
        <v>8003879954</v>
      </c>
      <c r="B76">
        <v>18</v>
      </c>
      <c r="C76">
        <v>22062017</v>
      </c>
      <c r="D76">
        <v>299</v>
      </c>
      <c r="E76" t="str">
        <f>"GST"</f>
        <v>GST</v>
      </c>
      <c r="F76">
        <v>9938</v>
      </c>
      <c r="G76" t="str">
        <f>"18033742"</f>
        <v>18033742</v>
      </c>
      <c r="H76" s="1">
        <v>0.01</v>
      </c>
      <c r="I76" t="s">
        <v>28</v>
      </c>
      <c r="J76" s="1">
        <v>128222.21</v>
      </c>
      <c r="K76" t="s">
        <v>26</v>
      </c>
      <c r="L76">
        <v>163009</v>
      </c>
      <c r="M76" t="str">
        <f>"PGTEFT2382          INV00007333"</f>
        <v>PGTEFT2382          INV00007333</v>
      </c>
      <c r="O76">
        <v>1</v>
      </c>
    </row>
    <row r="77" spans="1:17" x14ac:dyDescent="0.25">
      <c r="A77">
        <v>8003879954</v>
      </c>
      <c r="B77">
        <v>17</v>
      </c>
      <c r="C77">
        <v>22062017</v>
      </c>
      <c r="D77">
        <v>489</v>
      </c>
      <c r="E77" t="str">
        <f>"OTHER TRANSFER FEE"</f>
        <v>OTHER TRANSFER FEE</v>
      </c>
      <c r="F77">
        <v>9938</v>
      </c>
      <c r="G77" t="str">
        <f>"18033742"</f>
        <v>18033742</v>
      </c>
      <c r="H77" s="1">
        <v>0.1</v>
      </c>
      <c r="I77" t="s">
        <v>28</v>
      </c>
      <c r="J77" s="1">
        <v>128222.22</v>
      </c>
      <c r="K77" t="s">
        <v>26</v>
      </c>
      <c r="L77">
        <v>163009</v>
      </c>
      <c r="M77" t="str">
        <f>"PGTEFT2382          INV00007333"</f>
        <v>PGTEFT2382          INV00007333</v>
      </c>
      <c r="O77">
        <v>1</v>
      </c>
    </row>
    <row r="78" spans="1:17" x14ac:dyDescent="0.25">
      <c r="A78">
        <v>8003879954</v>
      </c>
      <c r="B78">
        <v>16</v>
      </c>
      <c r="C78">
        <v>22062017</v>
      </c>
      <c r="D78">
        <v>341</v>
      </c>
      <c r="E78" t="str">
        <f>"TR IBG"</f>
        <v>TR IBG</v>
      </c>
      <c r="F78">
        <v>9938</v>
      </c>
      <c r="G78" t="str">
        <f>"18034886"</f>
        <v>18034886</v>
      </c>
      <c r="H78" s="1">
        <v>1088.5999999999999</v>
      </c>
      <c r="I78" t="s">
        <v>28</v>
      </c>
      <c r="J78" s="1">
        <v>128222.32</v>
      </c>
      <c r="K78" t="s">
        <v>26</v>
      </c>
      <c r="L78">
        <v>163001</v>
      </c>
      <c r="M78" t="str">
        <f>"AMEBA ART"</f>
        <v>AMEBA ART</v>
      </c>
      <c r="O78">
        <v>1</v>
      </c>
      <c r="P78" t="str">
        <f>"PGTEFT2380"</f>
        <v>PGTEFT2380</v>
      </c>
      <c r="Q78" t="str">
        <f>"IV-05577"</f>
        <v>IV-05577</v>
      </c>
    </row>
    <row r="79" spans="1:17" x14ac:dyDescent="0.25">
      <c r="A79">
        <v>8003879954</v>
      </c>
      <c r="B79">
        <v>15</v>
      </c>
      <c r="C79">
        <v>22062017</v>
      </c>
      <c r="D79">
        <v>299</v>
      </c>
      <c r="E79" t="str">
        <f>"GST"</f>
        <v>GST</v>
      </c>
      <c r="F79">
        <v>9938</v>
      </c>
      <c r="G79" t="str">
        <f>"18034886"</f>
        <v>18034886</v>
      </c>
      <c r="H79" s="1">
        <v>0.01</v>
      </c>
      <c r="I79" t="s">
        <v>28</v>
      </c>
      <c r="J79" s="1">
        <v>129310.92</v>
      </c>
      <c r="K79" t="s">
        <v>26</v>
      </c>
      <c r="L79">
        <v>163001</v>
      </c>
      <c r="M79" t="str">
        <f>"PGTEFT2380          IV-05577"</f>
        <v>PGTEFT2380          IV-05577</v>
      </c>
      <c r="O79">
        <v>1</v>
      </c>
    </row>
    <row r="80" spans="1:17" x14ac:dyDescent="0.25">
      <c r="A80">
        <v>8003879954</v>
      </c>
      <c r="B80">
        <v>14</v>
      </c>
      <c r="C80">
        <v>22062017</v>
      </c>
      <c r="D80">
        <v>489</v>
      </c>
      <c r="E80" t="str">
        <f>"OTHER TRANSFER FEE"</f>
        <v>OTHER TRANSFER FEE</v>
      </c>
      <c r="F80">
        <v>9938</v>
      </c>
      <c r="G80" t="str">
        <f>"18034886"</f>
        <v>18034886</v>
      </c>
      <c r="H80" s="1">
        <v>0.1</v>
      </c>
      <c r="I80" t="s">
        <v>28</v>
      </c>
      <c r="J80" s="1">
        <v>129310.93</v>
      </c>
      <c r="K80" t="s">
        <v>26</v>
      </c>
      <c r="L80">
        <v>163001</v>
      </c>
      <c r="M80" t="str">
        <f>"PGTEFT2380          IV-05577"</f>
        <v>PGTEFT2380          IV-05577</v>
      </c>
      <c r="O80">
        <v>1</v>
      </c>
    </row>
    <row r="81" spans="1:18" x14ac:dyDescent="0.25">
      <c r="A81">
        <v>8003879954</v>
      </c>
      <c r="B81">
        <v>13</v>
      </c>
      <c r="C81">
        <v>22062017</v>
      </c>
      <c r="D81">
        <v>341</v>
      </c>
      <c r="E81" t="str">
        <f>"TR IBG"</f>
        <v>TR IBG</v>
      </c>
      <c r="F81">
        <v>9938</v>
      </c>
      <c r="G81" t="str">
        <f>"18033636"</f>
        <v>18033636</v>
      </c>
      <c r="H81" s="1">
        <v>18</v>
      </c>
      <c r="I81" t="s">
        <v>28</v>
      </c>
      <c r="J81" s="1">
        <v>129311.03</v>
      </c>
      <c r="K81" t="s">
        <v>26</v>
      </c>
      <c r="L81">
        <v>163000</v>
      </c>
      <c r="M81" t="str">
        <f>"EDITORIAL ASSOCIATES"</f>
        <v>EDITORIAL ASSOCIATES</v>
      </c>
      <c r="O81">
        <v>1</v>
      </c>
      <c r="P81" t="str">
        <f>"PGTEFT2383"</f>
        <v>PGTEFT2383</v>
      </c>
    </row>
    <row r="82" spans="1:18" x14ac:dyDescent="0.25">
      <c r="A82">
        <v>8003879954</v>
      </c>
      <c r="B82">
        <v>12</v>
      </c>
      <c r="C82">
        <v>22062017</v>
      </c>
      <c r="D82">
        <v>299</v>
      </c>
      <c r="E82" t="str">
        <f>"GST"</f>
        <v>GST</v>
      </c>
      <c r="F82">
        <v>9938</v>
      </c>
      <c r="G82" t="str">
        <f>"18033636"</f>
        <v>18033636</v>
      </c>
      <c r="H82" s="1">
        <v>0.01</v>
      </c>
      <c r="I82" t="s">
        <v>28</v>
      </c>
      <c r="J82" s="1">
        <v>129329.03</v>
      </c>
      <c r="K82" t="s">
        <v>26</v>
      </c>
      <c r="L82">
        <v>163000</v>
      </c>
      <c r="M82" t="str">
        <f>"PGTEFT2383"</f>
        <v>PGTEFT2383</v>
      </c>
      <c r="O82">
        <v>1</v>
      </c>
    </row>
    <row r="83" spans="1:18" x14ac:dyDescent="0.25">
      <c r="A83">
        <v>8003879954</v>
      </c>
      <c r="B83">
        <v>11</v>
      </c>
      <c r="C83">
        <v>22062017</v>
      </c>
      <c r="D83">
        <v>489</v>
      </c>
      <c r="E83" t="str">
        <f>"OTHER TRANSFER FEE"</f>
        <v>OTHER TRANSFER FEE</v>
      </c>
      <c r="F83">
        <v>9938</v>
      </c>
      <c r="G83" t="str">
        <f>"18033636"</f>
        <v>18033636</v>
      </c>
      <c r="H83" s="1">
        <v>0.1</v>
      </c>
      <c r="I83" t="s">
        <v>28</v>
      </c>
      <c r="J83" s="1">
        <v>129329.04</v>
      </c>
      <c r="K83" t="s">
        <v>26</v>
      </c>
      <c r="L83">
        <v>163000</v>
      </c>
      <c r="M83" t="str">
        <f>"PGTEFT2383"</f>
        <v>PGTEFT2383</v>
      </c>
      <c r="O83">
        <v>1</v>
      </c>
    </row>
    <row r="84" spans="1:18" x14ac:dyDescent="0.25">
      <c r="A84">
        <v>8003879954</v>
      </c>
      <c r="B84">
        <v>10</v>
      </c>
      <c r="C84">
        <v>22062017</v>
      </c>
      <c r="D84">
        <v>341</v>
      </c>
      <c r="E84" t="str">
        <f>"TR IBG"</f>
        <v>TR IBG</v>
      </c>
      <c r="F84">
        <v>9938</v>
      </c>
      <c r="G84" t="str">
        <f>"18032458"</f>
        <v>18032458</v>
      </c>
      <c r="H84" s="1">
        <v>66.5</v>
      </c>
      <c r="I84" t="s">
        <v>28</v>
      </c>
      <c r="J84" s="1">
        <v>129329.14</v>
      </c>
      <c r="K84" t="s">
        <v>26</v>
      </c>
      <c r="L84">
        <v>163000</v>
      </c>
      <c r="M84" t="str">
        <f>"KAKI CREATION"</f>
        <v>KAKI CREATION</v>
      </c>
      <c r="O84">
        <v>1</v>
      </c>
      <c r="P84" t="str">
        <f>"PGTEFT2387"</f>
        <v>PGTEFT2387</v>
      </c>
      <c r="Q84" t="str">
        <f>"KKCN17-IV032"</f>
        <v>KKCN17-IV032</v>
      </c>
    </row>
    <row r="85" spans="1:18" x14ac:dyDescent="0.25">
      <c r="A85">
        <v>8003879954</v>
      </c>
      <c r="B85">
        <v>9</v>
      </c>
      <c r="C85">
        <v>22062017</v>
      </c>
      <c r="D85">
        <v>299</v>
      </c>
      <c r="E85" t="str">
        <f>"GST"</f>
        <v>GST</v>
      </c>
      <c r="F85">
        <v>9938</v>
      </c>
      <c r="G85" t="str">
        <f>"18032458"</f>
        <v>18032458</v>
      </c>
      <c r="H85" s="1">
        <v>0.01</v>
      </c>
      <c r="I85" t="s">
        <v>28</v>
      </c>
      <c r="J85" s="1">
        <v>129395.64</v>
      </c>
      <c r="K85" t="s">
        <v>26</v>
      </c>
      <c r="L85">
        <v>163000</v>
      </c>
      <c r="M85" t="str">
        <f>"PGTEFT2387          KKCN17-IV032"</f>
        <v>PGTEFT2387          KKCN17-IV032</v>
      </c>
      <c r="O85">
        <v>1</v>
      </c>
    </row>
    <row r="86" spans="1:18" x14ac:dyDescent="0.25">
      <c r="A86">
        <v>8003879954</v>
      </c>
      <c r="B86">
        <v>8</v>
      </c>
      <c r="C86">
        <v>22062017</v>
      </c>
      <c r="D86">
        <v>489</v>
      </c>
      <c r="E86" t="str">
        <f>"OTHER TRANSFER FEE"</f>
        <v>OTHER TRANSFER FEE</v>
      </c>
      <c r="F86">
        <v>9938</v>
      </c>
      <c r="G86" t="str">
        <f>"18032458"</f>
        <v>18032458</v>
      </c>
      <c r="H86" s="1">
        <v>0.1</v>
      </c>
      <c r="I86" t="s">
        <v>28</v>
      </c>
      <c r="J86" s="1">
        <v>129395.65</v>
      </c>
      <c r="K86" t="s">
        <v>26</v>
      </c>
      <c r="L86">
        <v>163000</v>
      </c>
      <c r="M86" t="str">
        <f>"PGTEFT2387          KKCN17-IV032"</f>
        <v>PGTEFT2387          KKCN17-IV032</v>
      </c>
      <c r="O86">
        <v>1</v>
      </c>
    </row>
    <row r="87" spans="1:18" x14ac:dyDescent="0.25">
      <c r="A87">
        <v>8003879954</v>
      </c>
      <c r="B87">
        <v>7</v>
      </c>
      <c r="C87">
        <v>22062017</v>
      </c>
      <c r="D87">
        <v>341</v>
      </c>
      <c r="E87" t="str">
        <f>"TR IBG"</f>
        <v>TR IBG</v>
      </c>
      <c r="F87">
        <v>9938</v>
      </c>
      <c r="G87" t="str">
        <f>"18032988"</f>
        <v>18032988</v>
      </c>
      <c r="H87" s="1">
        <v>7530</v>
      </c>
      <c r="I87" t="s">
        <v>28</v>
      </c>
      <c r="J87" s="1">
        <v>129395.75</v>
      </c>
      <c r="K87" t="s">
        <v>26</v>
      </c>
      <c r="L87">
        <v>163000</v>
      </c>
      <c r="M87" t="str">
        <f>"HG LIM ELECTRICAL EN"</f>
        <v>HG LIM ELECTRICAL EN</v>
      </c>
      <c r="O87">
        <v>1</v>
      </c>
      <c r="P87" t="str">
        <f>"PGTEFT2385"</f>
        <v>PGTEFT2385</v>
      </c>
      <c r="Q87" t="str">
        <f>"MINI HAB"</f>
        <v>MINI HAB</v>
      </c>
    </row>
    <row r="88" spans="1:18" x14ac:dyDescent="0.25">
      <c r="A88">
        <v>8003879954</v>
      </c>
      <c r="B88">
        <v>6</v>
      </c>
      <c r="C88">
        <v>22062017</v>
      </c>
      <c r="D88">
        <v>299</v>
      </c>
      <c r="E88" t="str">
        <f>"GST"</f>
        <v>GST</v>
      </c>
      <c r="F88">
        <v>9938</v>
      </c>
      <c r="G88" t="str">
        <f>"18032988"</f>
        <v>18032988</v>
      </c>
      <c r="H88" s="1">
        <v>0.01</v>
      </c>
      <c r="I88" t="s">
        <v>28</v>
      </c>
      <c r="J88" s="1">
        <v>136925.75</v>
      </c>
      <c r="K88" t="s">
        <v>26</v>
      </c>
      <c r="L88">
        <v>163000</v>
      </c>
      <c r="M88" t="str">
        <f>"PGTEFT2385          MINI HAB"</f>
        <v>PGTEFT2385          MINI HAB</v>
      </c>
      <c r="O88">
        <v>1</v>
      </c>
    </row>
    <row r="89" spans="1:18" x14ac:dyDescent="0.25">
      <c r="A89">
        <v>8003879954</v>
      </c>
      <c r="B89">
        <v>5</v>
      </c>
      <c r="C89">
        <v>22062017</v>
      </c>
      <c r="D89">
        <v>489</v>
      </c>
      <c r="E89" t="str">
        <f>"OTHER TRANSFER FEE"</f>
        <v>OTHER TRANSFER FEE</v>
      </c>
      <c r="F89">
        <v>9938</v>
      </c>
      <c r="G89" t="str">
        <f>"18032988"</f>
        <v>18032988</v>
      </c>
      <c r="H89" s="1">
        <v>0.1</v>
      </c>
      <c r="I89" t="s">
        <v>28</v>
      </c>
      <c r="J89" s="1">
        <v>136925.76000000001</v>
      </c>
      <c r="K89" t="s">
        <v>26</v>
      </c>
      <c r="L89">
        <v>163000</v>
      </c>
      <c r="M89" t="str">
        <f>"PGTEFT2385          MINI HAB"</f>
        <v>PGTEFT2385          MINI HAB</v>
      </c>
      <c r="O89">
        <v>1</v>
      </c>
    </row>
    <row r="90" spans="1:18" x14ac:dyDescent="0.25">
      <c r="A90">
        <v>8003879954</v>
      </c>
      <c r="B90">
        <v>4</v>
      </c>
      <c r="C90">
        <v>22062017</v>
      </c>
      <c r="D90">
        <v>341</v>
      </c>
      <c r="E90" t="str">
        <f>"TR IBG"</f>
        <v>TR IBG</v>
      </c>
      <c r="F90">
        <v>9938</v>
      </c>
      <c r="G90" t="str">
        <f>"18034425"</f>
        <v>18034425</v>
      </c>
      <c r="H90" s="1">
        <v>86.4</v>
      </c>
      <c r="I90" t="s">
        <v>28</v>
      </c>
      <c r="J90" s="1">
        <v>136925.85999999999</v>
      </c>
      <c r="K90" t="s">
        <v>26</v>
      </c>
      <c r="L90">
        <v>163000</v>
      </c>
      <c r="M90" t="str">
        <f>"CLARITY PUBLISHING S"</f>
        <v>CLARITY PUBLISHING S</v>
      </c>
      <c r="O90">
        <v>1</v>
      </c>
      <c r="P90" t="str">
        <f>"PGTEFT2381"</f>
        <v>PGTEFT2381</v>
      </c>
      <c r="Q90" t="str">
        <f>"PGT05-17INV"</f>
        <v>PGT05-17INV</v>
      </c>
    </row>
    <row r="91" spans="1:18" x14ac:dyDescent="0.25">
      <c r="A91">
        <v>8003879954</v>
      </c>
      <c r="B91">
        <v>3</v>
      </c>
      <c r="C91">
        <v>22062017</v>
      </c>
      <c r="D91">
        <v>299</v>
      </c>
      <c r="E91" t="str">
        <f>"GST"</f>
        <v>GST</v>
      </c>
      <c r="F91">
        <v>9938</v>
      </c>
      <c r="G91" t="str">
        <f>"18034425"</f>
        <v>18034425</v>
      </c>
      <c r="H91" s="1">
        <v>0.01</v>
      </c>
      <c r="I91" t="s">
        <v>28</v>
      </c>
      <c r="J91" s="1">
        <v>137012.26</v>
      </c>
      <c r="K91" t="s">
        <v>26</v>
      </c>
      <c r="L91">
        <v>163000</v>
      </c>
      <c r="M91" t="str">
        <f>"PGTEFT2381          PGT05-17INV"</f>
        <v>PGTEFT2381          PGT05-17INV</v>
      </c>
      <c r="O91">
        <v>1</v>
      </c>
    </row>
    <row r="92" spans="1:18" x14ac:dyDescent="0.25">
      <c r="A92">
        <v>8003879954</v>
      </c>
      <c r="B92">
        <v>2</v>
      </c>
      <c r="C92">
        <v>22062017</v>
      </c>
      <c r="D92">
        <v>489</v>
      </c>
      <c r="E92" t="str">
        <f>"OTHER TRANSFER FEE"</f>
        <v>OTHER TRANSFER FEE</v>
      </c>
      <c r="F92">
        <v>9938</v>
      </c>
      <c r="G92" t="str">
        <f>"18034425"</f>
        <v>18034425</v>
      </c>
      <c r="H92" s="1">
        <v>0.1</v>
      </c>
      <c r="I92" t="s">
        <v>28</v>
      </c>
      <c r="J92" s="1">
        <v>137012.26999999999</v>
      </c>
      <c r="K92" t="s">
        <v>26</v>
      </c>
      <c r="L92">
        <v>163000</v>
      </c>
      <c r="M92" t="str">
        <f>"PGTEFT2381          PGT05-17INV"</f>
        <v>PGTEFT2381          PGT05-17INV</v>
      </c>
      <c r="O92">
        <v>1</v>
      </c>
    </row>
    <row r="93" spans="1:18" x14ac:dyDescent="0.25">
      <c r="A93">
        <v>8003879954</v>
      </c>
      <c r="B93">
        <v>1</v>
      </c>
      <c r="C93">
        <v>22062017</v>
      </c>
      <c r="D93">
        <v>998</v>
      </c>
      <c r="E93" t="str">
        <f>"ATM MEPS IBFT FROM OFI"</f>
        <v>ATM MEPS IBFT FROM OFI</v>
      </c>
      <c r="F93">
        <v>1400</v>
      </c>
      <c r="G93" t="str">
        <f>"A9998290"</f>
        <v>A9998290</v>
      </c>
      <c r="H93" s="1">
        <v>2400</v>
      </c>
      <c r="I93" t="s">
        <v>26</v>
      </c>
      <c r="J93" s="1">
        <v>137012.37</v>
      </c>
      <c r="K93" t="s">
        <v>26</v>
      </c>
      <c r="L93">
        <v>74145</v>
      </c>
      <c r="M93" t="str">
        <f>"Education Forum"</f>
        <v>Education Forum</v>
      </c>
      <c r="O93">
        <v>1</v>
      </c>
      <c r="Q93" t="str">
        <f>"Early Bird for 2 Pax"</f>
        <v>Early Bird for 2 Pax</v>
      </c>
      <c r="R93" t="str">
        <f>"MAKOTO TOKUNAGA"</f>
        <v>MAKOTO TOKUNAGA</v>
      </c>
    </row>
    <row r="94" spans="1:18" x14ac:dyDescent="0.25">
      <c r="A94">
        <v>8003879954</v>
      </c>
      <c r="B94">
        <v>8</v>
      </c>
      <c r="C94">
        <v>20062017</v>
      </c>
      <c r="D94">
        <v>299</v>
      </c>
      <c r="E94" t="str">
        <f>"GST"</f>
        <v>GST</v>
      </c>
      <c r="H94" s="1">
        <v>0.03</v>
      </c>
      <c r="I94" t="s">
        <v>28</v>
      </c>
      <c r="J94" s="1">
        <v>134612.37</v>
      </c>
      <c r="K94" t="s">
        <v>26</v>
      </c>
      <c r="L94">
        <v>10040</v>
      </c>
      <c r="M94" t="str">
        <f>""</f>
        <v/>
      </c>
      <c r="O94">
        <v>1</v>
      </c>
    </row>
    <row r="95" spans="1:18" x14ac:dyDescent="0.25">
      <c r="A95">
        <v>8003879954</v>
      </c>
      <c r="B95">
        <v>7</v>
      </c>
      <c r="C95">
        <v>20062017</v>
      </c>
      <c r="D95">
        <v>819</v>
      </c>
      <c r="E95" t="str">
        <f>"CHQ PROCESSING FEE"</f>
        <v>CHQ PROCESSING FEE</v>
      </c>
      <c r="H95" s="1">
        <v>0.5</v>
      </c>
      <c r="I95" t="s">
        <v>28</v>
      </c>
      <c r="J95" s="1">
        <v>134612.4</v>
      </c>
      <c r="K95" t="s">
        <v>26</v>
      </c>
      <c r="L95">
        <v>10040</v>
      </c>
      <c r="M95" t="str">
        <f>""</f>
        <v/>
      </c>
      <c r="O95">
        <v>1</v>
      </c>
    </row>
    <row r="96" spans="1:18" x14ac:dyDescent="0.25">
      <c r="A96">
        <v>8003879954</v>
      </c>
      <c r="B96">
        <v>6</v>
      </c>
      <c r="C96">
        <v>20062017</v>
      </c>
      <c r="D96">
        <v>323</v>
      </c>
      <c r="E96" t="str">
        <f>"CLRG CHQ DR"</f>
        <v>CLRG CHQ DR</v>
      </c>
      <c r="F96">
        <v>0</v>
      </c>
      <c r="G96" t="str">
        <f>"00687965"</f>
        <v>00687965</v>
      </c>
      <c r="H96" s="1">
        <v>10089.6</v>
      </c>
      <c r="I96" t="s">
        <v>28</v>
      </c>
      <c r="J96" s="1">
        <v>134612.9</v>
      </c>
      <c r="K96" t="s">
        <v>26</v>
      </c>
      <c r="L96">
        <v>5536</v>
      </c>
      <c r="M96" t="str">
        <f>""</f>
        <v/>
      </c>
      <c r="O96">
        <v>1</v>
      </c>
    </row>
    <row r="97" spans="1:18" x14ac:dyDescent="0.25">
      <c r="A97">
        <v>8003879954</v>
      </c>
      <c r="B97">
        <v>5</v>
      </c>
      <c r="C97">
        <v>20062017</v>
      </c>
      <c r="D97">
        <v>60</v>
      </c>
      <c r="E97" t="str">
        <f>"TR TO C/A"</f>
        <v>TR TO C/A</v>
      </c>
      <c r="F97">
        <v>9938</v>
      </c>
      <c r="G97" t="str">
        <f>"17890641"</f>
        <v>17890641</v>
      </c>
      <c r="H97" s="1">
        <v>583</v>
      </c>
      <c r="I97" t="s">
        <v>28</v>
      </c>
      <c r="J97" s="1">
        <v>144702.5</v>
      </c>
      <c r="K97" t="s">
        <v>26</v>
      </c>
      <c r="L97">
        <v>224126</v>
      </c>
      <c r="M97" t="str">
        <f>"YOSAKOI A.SANI KW SDN BHD"</f>
        <v>YOSAKOI A.SANI KW SDN BHD</v>
      </c>
      <c r="O97">
        <v>1</v>
      </c>
      <c r="P97" t="str">
        <f>"PGTEFT3476"</f>
        <v>PGTEFT3476</v>
      </c>
      <c r="Q97" t="str">
        <f>"INV04716 04874"</f>
        <v>INV04716 04874</v>
      </c>
    </row>
    <row r="98" spans="1:18" x14ac:dyDescent="0.25">
      <c r="A98">
        <v>8003879954</v>
      </c>
      <c r="B98">
        <v>4</v>
      </c>
      <c r="C98">
        <v>20062017</v>
      </c>
      <c r="D98">
        <v>341</v>
      </c>
      <c r="E98" t="str">
        <f>"TR IBG"</f>
        <v>TR IBG</v>
      </c>
      <c r="F98">
        <v>9938</v>
      </c>
      <c r="G98" t="str">
        <f>"17890318"</f>
        <v>17890318</v>
      </c>
      <c r="H98" s="1">
        <v>3300</v>
      </c>
      <c r="I98" t="s">
        <v>28</v>
      </c>
      <c r="J98" s="1">
        <v>145285.5</v>
      </c>
      <c r="K98" t="s">
        <v>26</v>
      </c>
      <c r="L98">
        <v>224126</v>
      </c>
      <c r="M98" t="str">
        <f>"ST. JOHN AMBULANS MA"</f>
        <v>ST. JOHN AMBULANS MA</v>
      </c>
      <c r="O98">
        <v>1</v>
      </c>
      <c r="P98" t="str">
        <f>"PGTEFT2377"</f>
        <v>PGTEFT2377</v>
      </c>
      <c r="Q98" t="str">
        <f>"IV-ADMIN00901"</f>
        <v>IV-ADMIN00901</v>
      </c>
    </row>
    <row r="99" spans="1:18" x14ac:dyDescent="0.25">
      <c r="A99">
        <v>8003879954</v>
      </c>
      <c r="B99">
        <v>3</v>
      </c>
      <c r="C99">
        <v>20062017</v>
      </c>
      <c r="D99">
        <v>299</v>
      </c>
      <c r="E99" t="str">
        <f>"GST"</f>
        <v>GST</v>
      </c>
      <c r="F99">
        <v>9938</v>
      </c>
      <c r="G99" t="str">
        <f>"17890318"</f>
        <v>17890318</v>
      </c>
      <c r="H99" s="1">
        <v>0.01</v>
      </c>
      <c r="I99" t="s">
        <v>28</v>
      </c>
      <c r="J99" s="1">
        <v>148585.5</v>
      </c>
      <c r="K99" t="s">
        <v>26</v>
      </c>
      <c r="L99">
        <v>224126</v>
      </c>
      <c r="M99" t="str">
        <f>"PGTEFT2377          IV-ADMIN00901"</f>
        <v>PGTEFT2377          IV-ADMIN00901</v>
      </c>
      <c r="O99">
        <v>1</v>
      </c>
    </row>
    <row r="100" spans="1:18" x14ac:dyDescent="0.25">
      <c r="A100">
        <v>8003879954</v>
      </c>
      <c r="B100">
        <v>2</v>
      </c>
      <c r="C100">
        <v>20062017</v>
      </c>
      <c r="D100">
        <v>489</v>
      </c>
      <c r="E100" t="str">
        <f>"OTHER TRANSFER FEE"</f>
        <v>OTHER TRANSFER FEE</v>
      </c>
      <c r="F100">
        <v>9938</v>
      </c>
      <c r="G100" t="str">
        <f>"17890318"</f>
        <v>17890318</v>
      </c>
      <c r="H100" s="1">
        <v>0.1</v>
      </c>
      <c r="I100" t="s">
        <v>28</v>
      </c>
      <c r="J100" s="1">
        <v>148585.51</v>
      </c>
      <c r="K100" t="s">
        <v>26</v>
      </c>
      <c r="L100">
        <v>224126</v>
      </c>
      <c r="M100" t="str">
        <f>"PGTEFT2377          IV-ADMIN00901"</f>
        <v>PGTEFT2377          IV-ADMIN00901</v>
      </c>
      <c r="O100">
        <v>1</v>
      </c>
    </row>
    <row r="101" spans="1:18" x14ac:dyDescent="0.25">
      <c r="A101">
        <v>8003879954</v>
      </c>
      <c r="B101">
        <v>1</v>
      </c>
      <c r="C101">
        <v>20062017</v>
      </c>
      <c r="D101">
        <v>345</v>
      </c>
      <c r="E101" t="str">
        <f>"TR TO SAVINGS"</f>
        <v>TR TO SAVINGS</v>
      </c>
      <c r="F101">
        <v>9938</v>
      </c>
      <c r="G101" t="str">
        <f>"17890863"</f>
        <v>17890863</v>
      </c>
      <c r="H101" s="1">
        <v>5500</v>
      </c>
      <c r="I101" t="s">
        <v>28</v>
      </c>
      <c r="J101" s="1">
        <v>148585.60999999999</v>
      </c>
      <c r="K101" t="s">
        <v>26</v>
      </c>
      <c r="L101">
        <v>224125</v>
      </c>
      <c r="M101" t="str">
        <f>"IMMIGRATION PASSES SIM KOK JIUN"</f>
        <v>IMMIGRATION PASSES SIM KOK JIUN</v>
      </c>
      <c r="O101">
        <v>1</v>
      </c>
      <c r="P101" t="str">
        <f>"PGTEFT2377"</f>
        <v>PGTEFT2377</v>
      </c>
      <c r="Q101" t="str">
        <f>"ADVANCES"</f>
        <v>ADVANCES</v>
      </c>
    </row>
    <row r="102" spans="1:18" x14ac:dyDescent="0.25">
      <c r="A102">
        <v>8003879954</v>
      </c>
      <c r="B102">
        <v>1</v>
      </c>
      <c r="C102">
        <v>16062017</v>
      </c>
      <c r="D102">
        <v>5</v>
      </c>
      <c r="E102" t="str">
        <f>"REMITTANCE CR"</f>
        <v>REMITTANCE CR</v>
      </c>
      <c r="H102" s="1">
        <v>95000</v>
      </c>
      <c r="I102" t="s">
        <v>26</v>
      </c>
      <c r="J102" s="1">
        <v>154085.60999999999</v>
      </c>
      <c r="K102" t="s">
        <v>26</v>
      </c>
      <c r="L102">
        <v>145920</v>
      </c>
      <c r="M102" t="str">
        <f>"/ROC/KLMP0017534 RHB ASSET MANAGEMENT SD"</f>
        <v>/ROC/KLMP0017534 RHB ASSET MANAGEMENT SD</v>
      </c>
      <c r="O102">
        <v>1</v>
      </c>
      <c r="P102" t="str">
        <f>"KLMP0017534"</f>
        <v>KLMP0017534</v>
      </c>
      <c r="Q102" t="str">
        <f>"RESIDENT"</f>
        <v>RESIDENT</v>
      </c>
      <c r="R102" t="str">
        <f>"RHB ASSET MANAGEMENT"</f>
        <v>RHB ASSET MANAGEMENT</v>
      </c>
    </row>
    <row r="103" spans="1:18" x14ac:dyDescent="0.25">
      <c r="A103">
        <v>8003879954</v>
      </c>
      <c r="B103">
        <v>12</v>
      </c>
      <c r="C103">
        <v>15062017</v>
      </c>
      <c r="D103">
        <v>299</v>
      </c>
      <c r="E103" t="s">
        <v>30</v>
      </c>
      <c r="H103" s="1">
        <v>0.03</v>
      </c>
      <c r="I103" t="s">
        <v>28</v>
      </c>
      <c r="J103" s="1">
        <v>59085.61</v>
      </c>
      <c r="K103" t="s">
        <v>26</v>
      </c>
      <c r="L103">
        <v>5939</v>
      </c>
      <c r="M103" t="s">
        <v>53</v>
      </c>
      <c r="O103">
        <v>1</v>
      </c>
    </row>
    <row r="104" spans="1:18" x14ac:dyDescent="0.25">
      <c r="A104">
        <v>8003879954</v>
      </c>
      <c r="B104">
        <v>11</v>
      </c>
      <c r="C104">
        <v>15062017</v>
      </c>
      <c r="D104">
        <v>819</v>
      </c>
      <c r="E104" t="s">
        <v>32</v>
      </c>
      <c r="H104" s="1">
        <v>0.5</v>
      </c>
      <c r="I104" t="s">
        <v>28</v>
      </c>
      <c r="J104" s="1">
        <v>59085.64</v>
      </c>
      <c r="K104" t="s">
        <v>26</v>
      </c>
      <c r="L104">
        <v>5939</v>
      </c>
      <c r="M104" t="s">
        <v>53</v>
      </c>
      <c r="O104">
        <v>1</v>
      </c>
    </row>
    <row r="105" spans="1:18" x14ac:dyDescent="0.25">
      <c r="A105">
        <v>8003879954</v>
      </c>
      <c r="B105">
        <v>10</v>
      </c>
      <c r="C105">
        <v>15062017</v>
      </c>
      <c r="D105">
        <v>299</v>
      </c>
      <c r="E105" t="s">
        <v>30</v>
      </c>
      <c r="H105" s="1">
        <v>0.09</v>
      </c>
      <c r="I105" t="s">
        <v>28</v>
      </c>
      <c r="J105" s="1">
        <v>59086.14</v>
      </c>
      <c r="K105" t="s">
        <v>26</v>
      </c>
      <c r="L105">
        <v>5939</v>
      </c>
      <c r="M105" t="s">
        <v>53</v>
      </c>
      <c r="O105">
        <v>1</v>
      </c>
    </row>
    <row r="106" spans="1:18" x14ac:dyDescent="0.25">
      <c r="A106">
        <v>8003879954</v>
      </c>
      <c r="B106">
        <v>9</v>
      </c>
      <c r="C106">
        <v>15062017</v>
      </c>
      <c r="D106">
        <v>819</v>
      </c>
      <c r="E106" t="s">
        <v>32</v>
      </c>
      <c r="H106" s="1">
        <v>1.5</v>
      </c>
      <c r="I106" t="s">
        <v>28</v>
      </c>
      <c r="J106" s="1">
        <v>59086.23</v>
      </c>
      <c r="K106" t="s">
        <v>26</v>
      </c>
      <c r="L106">
        <v>5939</v>
      </c>
      <c r="M106" t="s">
        <v>53</v>
      </c>
      <c r="O106">
        <v>1</v>
      </c>
    </row>
    <row r="107" spans="1:18" x14ac:dyDescent="0.25">
      <c r="A107">
        <v>8003879954</v>
      </c>
      <c r="B107">
        <v>8</v>
      </c>
      <c r="C107">
        <v>15062017</v>
      </c>
      <c r="D107">
        <v>323</v>
      </c>
      <c r="E107" t="s">
        <v>33</v>
      </c>
      <c r="F107">
        <v>0</v>
      </c>
      <c r="G107" t="s">
        <v>316</v>
      </c>
      <c r="H107" s="1">
        <v>530</v>
      </c>
      <c r="I107" t="s">
        <v>28</v>
      </c>
      <c r="J107" s="1">
        <v>59087.73</v>
      </c>
      <c r="K107" t="s">
        <v>26</v>
      </c>
      <c r="L107">
        <v>5650</v>
      </c>
      <c r="M107" t="s">
        <v>53</v>
      </c>
      <c r="O107">
        <v>1</v>
      </c>
    </row>
    <row r="108" spans="1:18" x14ac:dyDescent="0.25">
      <c r="A108">
        <v>8003879954</v>
      </c>
      <c r="B108">
        <v>7</v>
      </c>
      <c r="C108">
        <v>15062017</v>
      </c>
      <c r="D108">
        <v>323</v>
      </c>
      <c r="E108" t="s">
        <v>33</v>
      </c>
      <c r="F108">
        <v>0</v>
      </c>
      <c r="G108" t="s">
        <v>317</v>
      </c>
      <c r="H108" s="1">
        <v>225975.45</v>
      </c>
      <c r="I108" t="s">
        <v>28</v>
      </c>
      <c r="J108" s="1">
        <v>59617.73</v>
      </c>
      <c r="K108" t="s">
        <v>26</v>
      </c>
      <c r="L108">
        <v>5650</v>
      </c>
      <c r="M108" t="s">
        <v>53</v>
      </c>
      <c r="O108">
        <v>1</v>
      </c>
    </row>
    <row r="109" spans="1:18" x14ac:dyDescent="0.25">
      <c r="A109">
        <v>8003879954</v>
      </c>
      <c r="B109">
        <v>6</v>
      </c>
      <c r="C109">
        <v>15062017</v>
      </c>
      <c r="D109">
        <v>321</v>
      </c>
      <c r="E109" t="s">
        <v>37</v>
      </c>
      <c r="F109">
        <v>0</v>
      </c>
      <c r="G109" t="s">
        <v>318</v>
      </c>
      <c r="H109" s="1">
        <v>148905.63</v>
      </c>
      <c r="I109" t="s">
        <v>28</v>
      </c>
      <c r="J109" s="1">
        <v>285593.18</v>
      </c>
      <c r="K109" t="s">
        <v>26</v>
      </c>
      <c r="L109">
        <v>5650</v>
      </c>
      <c r="M109" t="s">
        <v>53</v>
      </c>
      <c r="O109">
        <v>1</v>
      </c>
    </row>
    <row r="110" spans="1:18" x14ac:dyDescent="0.25">
      <c r="A110">
        <v>8003879954</v>
      </c>
      <c r="B110">
        <v>5</v>
      </c>
      <c r="C110">
        <v>15062017</v>
      </c>
      <c r="D110">
        <v>323</v>
      </c>
      <c r="E110" t="s">
        <v>33</v>
      </c>
      <c r="F110">
        <v>0</v>
      </c>
      <c r="G110" t="s">
        <v>319</v>
      </c>
      <c r="H110" s="1">
        <v>530</v>
      </c>
      <c r="I110" t="s">
        <v>28</v>
      </c>
      <c r="J110" s="1">
        <v>434498.81</v>
      </c>
      <c r="K110" t="s">
        <v>26</v>
      </c>
      <c r="L110">
        <v>5650</v>
      </c>
      <c r="M110" t="s">
        <v>53</v>
      </c>
      <c r="O110">
        <v>1</v>
      </c>
    </row>
    <row r="111" spans="1:18" x14ac:dyDescent="0.25">
      <c r="A111">
        <v>8003879954</v>
      </c>
      <c r="B111">
        <v>4</v>
      </c>
      <c r="C111">
        <v>15062017</v>
      </c>
      <c r="D111">
        <v>123</v>
      </c>
      <c r="E111" t="s">
        <v>38</v>
      </c>
      <c r="F111">
        <v>2007</v>
      </c>
      <c r="G111" t="s">
        <v>320</v>
      </c>
      <c r="H111" s="1">
        <v>10000</v>
      </c>
      <c r="I111" t="s">
        <v>26</v>
      </c>
      <c r="J111" s="1">
        <v>435028.81</v>
      </c>
      <c r="K111" t="s">
        <v>26</v>
      </c>
      <c r="L111">
        <v>190630</v>
      </c>
      <c r="M111" t="s">
        <v>53</v>
      </c>
      <c r="O111">
        <v>1</v>
      </c>
    </row>
    <row r="112" spans="1:18" x14ac:dyDescent="0.25">
      <c r="A112">
        <v>8003879954</v>
      </c>
      <c r="B112">
        <v>3</v>
      </c>
      <c r="C112">
        <v>15062017</v>
      </c>
      <c r="D112">
        <v>299</v>
      </c>
      <c r="E112" t="s">
        <v>30</v>
      </c>
      <c r="F112">
        <v>1248</v>
      </c>
      <c r="G112" t="s">
        <v>321</v>
      </c>
      <c r="H112" s="1">
        <v>0.03</v>
      </c>
      <c r="I112" t="s">
        <v>28</v>
      </c>
      <c r="J112" s="1">
        <v>425028.81</v>
      </c>
      <c r="K112" t="s">
        <v>26</v>
      </c>
      <c r="L112">
        <v>143114</v>
      </c>
      <c r="M112" t="s">
        <v>322</v>
      </c>
      <c r="O112">
        <v>1</v>
      </c>
    </row>
    <row r="113" spans="1:17" x14ac:dyDescent="0.25">
      <c r="A113">
        <v>8003879954</v>
      </c>
      <c r="B113">
        <v>2</v>
      </c>
      <c r="C113">
        <v>15062017</v>
      </c>
      <c r="D113">
        <v>819</v>
      </c>
      <c r="E113" t="s">
        <v>32</v>
      </c>
      <c r="F113">
        <v>1248</v>
      </c>
      <c r="G113" t="s">
        <v>321</v>
      </c>
      <c r="H113" s="1">
        <v>0.5</v>
      </c>
      <c r="I113" t="s">
        <v>28</v>
      </c>
      <c r="J113" s="1">
        <v>425028.84</v>
      </c>
      <c r="K113" t="s">
        <v>26</v>
      </c>
      <c r="L113">
        <v>143114</v>
      </c>
      <c r="M113" t="s">
        <v>322</v>
      </c>
      <c r="O113">
        <v>1</v>
      </c>
    </row>
    <row r="114" spans="1:17" x14ac:dyDescent="0.25">
      <c r="A114">
        <v>8003879954</v>
      </c>
      <c r="B114">
        <v>1</v>
      </c>
      <c r="C114">
        <v>15062017</v>
      </c>
      <c r="D114">
        <v>341</v>
      </c>
      <c r="E114" t="s">
        <v>323</v>
      </c>
      <c r="F114">
        <v>2006</v>
      </c>
      <c r="G114" t="s">
        <v>321</v>
      </c>
      <c r="H114" s="1">
        <v>10</v>
      </c>
      <c r="I114" t="s">
        <v>28</v>
      </c>
      <c r="J114" s="1">
        <v>425029.34</v>
      </c>
      <c r="K114" t="s">
        <v>26</v>
      </c>
      <c r="L114">
        <v>100550</v>
      </c>
      <c r="M114" t="s">
        <v>53</v>
      </c>
      <c r="O114">
        <v>1</v>
      </c>
    </row>
    <row r="115" spans="1:17" x14ac:dyDescent="0.25">
      <c r="A115">
        <v>8003879954</v>
      </c>
      <c r="B115">
        <v>7</v>
      </c>
      <c r="C115">
        <v>14062017</v>
      </c>
      <c r="D115">
        <v>341</v>
      </c>
      <c r="E115" t="s">
        <v>29</v>
      </c>
      <c r="F115">
        <v>9938</v>
      </c>
      <c r="G115" t="s">
        <v>324</v>
      </c>
      <c r="H115" s="1">
        <v>3000</v>
      </c>
      <c r="I115" t="s">
        <v>28</v>
      </c>
      <c r="J115" s="1">
        <v>425039.34</v>
      </c>
      <c r="K115" t="s">
        <v>26</v>
      </c>
      <c r="L115">
        <v>231330</v>
      </c>
      <c r="M115" t="s">
        <v>199</v>
      </c>
      <c r="O115">
        <v>1</v>
      </c>
      <c r="P115" t="s">
        <v>215</v>
      </c>
      <c r="Q115" t="s">
        <v>325</v>
      </c>
    </row>
    <row r="116" spans="1:17" x14ac:dyDescent="0.25">
      <c r="A116">
        <v>8003879954</v>
      </c>
      <c r="B116">
        <v>6</v>
      </c>
      <c r="C116">
        <v>14062017</v>
      </c>
      <c r="D116">
        <v>299</v>
      </c>
      <c r="E116" t="s">
        <v>30</v>
      </c>
      <c r="F116">
        <v>9938</v>
      </c>
      <c r="G116" t="s">
        <v>324</v>
      </c>
      <c r="H116" s="1">
        <v>0.01</v>
      </c>
      <c r="I116" t="s">
        <v>28</v>
      </c>
      <c r="J116" s="1">
        <v>428039.34</v>
      </c>
      <c r="K116" t="s">
        <v>26</v>
      </c>
      <c r="L116">
        <v>231330</v>
      </c>
      <c r="M116" t="s">
        <v>326</v>
      </c>
      <c r="O116">
        <v>1</v>
      </c>
    </row>
    <row r="117" spans="1:17" x14ac:dyDescent="0.25">
      <c r="A117">
        <v>8003879954</v>
      </c>
      <c r="B117">
        <v>5</v>
      </c>
      <c r="C117">
        <v>14062017</v>
      </c>
      <c r="D117">
        <v>489</v>
      </c>
      <c r="E117" t="s">
        <v>31</v>
      </c>
      <c r="F117">
        <v>9938</v>
      </c>
      <c r="G117" t="s">
        <v>324</v>
      </c>
      <c r="H117" s="1">
        <v>0.1</v>
      </c>
      <c r="I117" t="s">
        <v>28</v>
      </c>
      <c r="J117" s="1">
        <v>428039.35</v>
      </c>
      <c r="K117" t="s">
        <v>26</v>
      </c>
      <c r="L117">
        <v>231330</v>
      </c>
      <c r="M117" t="s">
        <v>326</v>
      </c>
      <c r="O117">
        <v>1</v>
      </c>
    </row>
    <row r="118" spans="1:17" x14ac:dyDescent="0.25">
      <c r="A118">
        <v>8003879954</v>
      </c>
      <c r="B118">
        <v>4</v>
      </c>
      <c r="C118">
        <v>14062017</v>
      </c>
      <c r="D118">
        <v>123</v>
      </c>
      <c r="E118" t="s">
        <v>38</v>
      </c>
      <c r="F118">
        <v>2007</v>
      </c>
      <c r="G118" t="s">
        <v>327</v>
      </c>
      <c r="H118" s="1">
        <v>3000</v>
      </c>
      <c r="I118" t="s">
        <v>26</v>
      </c>
      <c r="J118" s="1">
        <v>428039.45</v>
      </c>
      <c r="K118" t="s">
        <v>26</v>
      </c>
      <c r="L118">
        <v>190819</v>
      </c>
      <c r="M118" t="s">
        <v>53</v>
      </c>
      <c r="O118">
        <v>1</v>
      </c>
    </row>
    <row r="119" spans="1:17" x14ac:dyDescent="0.25">
      <c r="A119">
        <v>8003879954</v>
      </c>
      <c r="B119">
        <v>3</v>
      </c>
      <c r="C119">
        <v>14062017</v>
      </c>
      <c r="D119">
        <v>299</v>
      </c>
      <c r="E119" t="s">
        <v>44</v>
      </c>
      <c r="F119">
        <v>72</v>
      </c>
      <c r="G119" t="s">
        <v>328</v>
      </c>
      <c r="H119" s="1">
        <v>0.6</v>
      </c>
      <c r="I119" t="s">
        <v>28</v>
      </c>
      <c r="J119" s="1">
        <v>425039.45</v>
      </c>
      <c r="K119" t="s">
        <v>26</v>
      </c>
      <c r="L119">
        <v>113128</v>
      </c>
      <c r="M119" t="s">
        <v>329</v>
      </c>
      <c r="O119">
        <v>1</v>
      </c>
    </row>
    <row r="120" spans="1:17" x14ac:dyDescent="0.25">
      <c r="A120">
        <v>8003879954</v>
      </c>
      <c r="B120">
        <v>2</v>
      </c>
      <c r="C120">
        <v>14062017</v>
      </c>
      <c r="D120">
        <v>415</v>
      </c>
      <c r="E120" t="s">
        <v>146</v>
      </c>
      <c r="F120">
        <v>72</v>
      </c>
      <c r="G120" t="s">
        <v>328</v>
      </c>
      <c r="H120" s="1">
        <v>10</v>
      </c>
      <c r="I120" t="s">
        <v>28</v>
      </c>
      <c r="J120" s="1">
        <v>425040.05</v>
      </c>
      <c r="K120" t="s">
        <v>26</v>
      </c>
      <c r="L120">
        <v>113128</v>
      </c>
      <c r="M120" t="s">
        <v>329</v>
      </c>
      <c r="O120">
        <v>1</v>
      </c>
    </row>
    <row r="121" spans="1:17" x14ac:dyDescent="0.25">
      <c r="A121">
        <v>8003879954</v>
      </c>
      <c r="B121">
        <v>1</v>
      </c>
      <c r="C121">
        <v>14062017</v>
      </c>
      <c r="D121">
        <v>349</v>
      </c>
      <c r="E121" t="s">
        <v>35</v>
      </c>
      <c r="F121">
        <v>72</v>
      </c>
      <c r="G121" t="s">
        <v>328</v>
      </c>
      <c r="H121" s="1">
        <v>434567.58</v>
      </c>
      <c r="I121" t="s">
        <v>28</v>
      </c>
      <c r="J121" s="1">
        <v>425050.05</v>
      </c>
      <c r="K121" t="s">
        <v>26</v>
      </c>
      <c r="L121">
        <v>113128</v>
      </c>
      <c r="M121" t="s">
        <v>329</v>
      </c>
      <c r="O121">
        <v>1</v>
      </c>
    </row>
    <row r="122" spans="1:17" x14ac:dyDescent="0.25">
      <c r="A122">
        <v>8003879954</v>
      </c>
      <c r="B122">
        <v>3</v>
      </c>
      <c r="C122">
        <v>13062017</v>
      </c>
      <c r="D122">
        <v>299</v>
      </c>
      <c r="E122" t="s">
        <v>30</v>
      </c>
      <c r="H122" s="1">
        <v>0.03</v>
      </c>
      <c r="I122" t="s">
        <v>28</v>
      </c>
      <c r="J122" s="1">
        <v>859617.63</v>
      </c>
      <c r="K122" t="s">
        <v>26</v>
      </c>
      <c r="L122">
        <v>13007</v>
      </c>
      <c r="M122" t="s">
        <v>53</v>
      </c>
      <c r="O122">
        <v>1</v>
      </c>
    </row>
    <row r="123" spans="1:17" x14ac:dyDescent="0.25">
      <c r="A123">
        <v>8003879954</v>
      </c>
      <c r="B123">
        <v>2</v>
      </c>
      <c r="C123">
        <v>13062017</v>
      </c>
      <c r="D123">
        <v>819</v>
      </c>
      <c r="E123" t="s">
        <v>32</v>
      </c>
      <c r="H123" s="1">
        <v>0.5</v>
      </c>
      <c r="I123" t="s">
        <v>28</v>
      </c>
      <c r="J123" s="1">
        <v>859617.66</v>
      </c>
      <c r="K123" t="s">
        <v>26</v>
      </c>
      <c r="L123">
        <v>13007</v>
      </c>
      <c r="M123" t="s">
        <v>53</v>
      </c>
      <c r="O123">
        <v>1</v>
      </c>
    </row>
    <row r="124" spans="1:17" x14ac:dyDescent="0.25">
      <c r="A124">
        <v>8003879954</v>
      </c>
      <c r="B124">
        <v>1</v>
      </c>
      <c r="C124">
        <v>13062017</v>
      </c>
      <c r="D124">
        <v>323</v>
      </c>
      <c r="E124" t="s">
        <v>33</v>
      </c>
      <c r="F124">
        <v>0</v>
      </c>
      <c r="G124" t="s">
        <v>330</v>
      </c>
      <c r="H124" s="1">
        <v>21083</v>
      </c>
      <c r="I124" t="s">
        <v>28</v>
      </c>
      <c r="J124" s="1">
        <v>859618.16</v>
      </c>
      <c r="K124" t="s">
        <v>26</v>
      </c>
      <c r="L124">
        <v>12726</v>
      </c>
      <c r="M124" t="s">
        <v>53</v>
      </c>
      <c r="O124">
        <v>1</v>
      </c>
    </row>
    <row r="125" spans="1:17" x14ac:dyDescent="0.25">
      <c r="A125">
        <v>8003879954</v>
      </c>
      <c r="B125">
        <v>20</v>
      </c>
      <c r="C125">
        <v>9062017</v>
      </c>
      <c r="D125">
        <v>299</v>
      </c>
      <c r="E125" t="s">
        <v>30</v>
      </c>
      <c r="H125" s="1">
        <v>0.03</v>
      </c>
      <c r="I125" t="s">
        <v>28</v>
      </c>
      <c r="J125" s="1">
        <v>880701.16</v>
      </c>
      <c r="K125" t="s">
        <v>26</v>
      </c>
      <c r="L125">
        <v>31201</v>
      </c>
      <c r="M125" t="s">
        <v>53</v>
      </c>
      <c r="O125">
        <v>1</v>
      </c>
    </row>
    <row r="126" spans="1:17" x14ac:dyDescent="0.25">
      <c r="A126">
        <v>8003879954</v>
      </c>
      <c r="B126">
        <v>19</v>
      </c>
      <c r="C126">
        <v>9062017</v>
      </c>
      <c r="D126">
        <v>819</v>
      </c>
      <c r="E126" t="s">
        <v>32</v>
      </c>
      <c r="H126" s="1">
        <v>0.5</v>
      </c>
      <c r="I126" t="s">
        <v>28</v>
      </c>
      <c r="J126" s="1">
        <v>880701.19</v>
      </c>
      <c r="K126" t="s">
        <v>26</v>
      </c>
      <c r="L126">
        <v>31201</v>
      </c>
      <c r="M126" t="s">
        <v>53</v>
      </c>
      <c r="O126">
        <v>1</v>
      </c>
    </row>
    <row r="127" spans="1:17" x14ac:dyDescent="0.25">
      <c r="A127">
        <v>8003879954</v>
      </c>
      <c r="B127">
        <v>18</v>
      </c>
      <c r="C127">
        <v>9062017</v>
      </c>
      <c r="D127">
        <v>323</v>
      </c>
      <c r="E127" t="s">
        <v>33</v>
      </c>
      <c r="F127">
        <v>0</v>
      </c>
      <c r="G127" t="s">
        <v>331</v>
      </c>
      <c r="H127" s="1">
        <v>170</v>
      </c>
      <c r="I127" t="s">
        <v>28</v>
      </c>
      <c r="J127" s="1">
        <v>880701.69</v>
      </c>
      <c r="K127" t="s">
        <v>26</v>
      </c>
      <c r="L127">
        <v>31105</v>
      </c>
      <c r="M127" t="s">
        <v>53</v>
      </c>
      <c r="O127">
        <v>1</v>
      </c>
    </row>
    <row r="128" spans="1:17" x14ac:dyDescent="0.25">
      <c r="A128">
        <v>8003879954</v>
      </c>
      <c r="B128">
        <v>17</v>
      </c>
      <c r="C128">
        <v>9062017</v>
      </c>
      <c r="D128">
        <v>123</v>
      </c>
      <c r="E128" t="s">
        <v>38</v>
      </c>
      <c r="F128">
        <v>2007</v>
      </c>
      <c r="G128" t="s">
        <v>332</v>
      </c>
      <c r="H128" s="1">
        <v>4000</v>
      </c>
      <c r="I128" t="s">
        <v>26</v>
      </c>
      <c r="J128" s="1">
        <v>880871.69</v>
      </c>
      <c r="K128" t="s">
        <v>26</v>
      </c>
      <c r="L128">
        <v>192245</v>
      </c>
      <c r="M128" t="s">
        <v>53</v>
      </c>
      <c r="O128">
        <v>1</v>
      </c>
    </row>
    <row r="129" spans="1:18" x14ac:dyDescent="0.25">
      <c r="A129">
        <v>8003879954</v>
      </c>
      <c r="B129">
        <v>16</v>
      </c>
      <c r="C129">
        <v>9062017</v>
      </c>
      <c r="D129">
        <v>341</v>
      </c>
      <c r="E129" t="s">
        <v>323</v>
      </c>
      <c r="F129" t="s">
        <v>333</v>
      </c>
      <c r="G129" t="s">
        <v>334</v>
      </c>
      <c r="H129" s="1">
        <v>11205.5</v>
      </c>
      <c r="I129" t="s">
        <v>28</v>
      </c>
      <c r="J129" s="1">
        <v>876871.69</v>
      </c>
      <c r="K129" t="s">
        <v>26</v>
      </c>
      <c r="L129">
        <v>172235</v>
      </c>
      <c r="M129" t="s">
        <v>53</v>
      </c>
      <c r="O129">
        <v>1</v>
      </c>
    </row>
    <row r="130" spans="1:18" x14ac:dyDescent="0.25">
      <c r="A130">
        <v>8003879954</v>
      </c>
      <c r="B130">
        <v>15</v>
      </c>
      <c r="C130">
        <v>9062017</v>
      </c>
      <c r="D130">
        <v>299</v>
      </c>
      <c r="E130" t="s">
        <v>44</v>
      </c>
      <c r="F130">
        <v>72</v>
      </c>
      <c r="G130" t="s">
        <v>335</v>
      </c>
      <c r="H130" s="1">
        <v>0.6</v>
      </c>
      <c r="I130" t="s">
        <v>28</v>
      </c>
      <c r="J130" s="1">
        <v>888077.19</v>
      </c>
      <c r="K130" t="s">
        <v>26</v>
      </c>
      <c r="L130">
        <v>155257</v>
      </c>
      <c r="M130" t="s">
        <v>336</v>
      </c>
      <c r="O130">
        <v>1</v>
      </c>
    </row>
    <row r="131" spans="1:18" x14ac:dyDescent="0.25">
      <c r="A131">
        <v>8003879954</v>
      </c>
      <c r="B131">
        <v>14</v>
      </c>
      <c r="C131">
        <v>9062017</v>
      </c>
      <c r="D131">
        <v>415</v>
      </c>
      <c r="E131" t="s">
        <v>146</v>
      </c>
      <c r="F131">
        <v>72</v>
      </c>
      <c r="G131" t="s">
        <v>335</v>
      </c>
      <c r="H131" s="1">
        <v>10</v>
      </c>
      <c r="I131" t="s">
        <v>28</v>
      </c>
      <c r="J131" s="1">
        <v>888077.79</v>
      </c>
      <c r="K131" t="s">
        <v>26</v>
      </c>
      <c r="L131">
        <v>155257</v>
      </c>
      <c r="M131" t="s">
        <v>336</v>
      </c>
      <c r="O131">
        <v>1</v>
      </c>
    </row>
    <row r="132" spans="1:18" x14ac:dyDescent="0.25">
      <c r="A132">
        <v>8003879954</v>
      </c>
      <c r="B132">
        <v>13</v>
      </c>
      <c r="C132">
        <v>9062017</v>
      </c>
      <c r="D132">
        <v>349</v>
      </c>
      <c r="E132" t="s">
        <v>35</v>
      </c>
      <c r="F132">
        <v>72</v>
      </c>
      <c r="G132" t="s">
        <v>335</v>
      </c>
      <c r="H132" s="1">
        <v>17856.599999999999</v>
      </c>
      <c r="I132" t="s">
        <v>28</v>
      </c>
      <c r="J132" s="1">
        <v>888087.79</v>
      </c>
      <c r="K132" t="s">
        <v>26</v>
      </c>
      <c r="L132">
        <v>155257</v>
      </c>
      <c r="M132" t="s">
        <v>336</v>
      </c>
      <c r="O132">
        <v>1</v>
      </c>
    </row>
    <row r="133" spans="1:18" x14ac:dyDescent="0.25">
      <c r="A133">
        <v>8003879954</v>
      </c>
      <c r="B133">
        <v>12</v>
      </c>
      <c r="C133">
        <v>9062017</v>
      </c>
      <c r="D133">
        <v>299</v>
      </c>
      <c r="E133" t="s">
        <v>44</v>
      </c>
      <c r="F133">
        <v>72</v>
      </c>
      <c r="G133" t="s">
        <v>337</v>
      </c>
      <c r="H133" s="1">
        <v>0.6</v>
      </c>
      <c r="I133" t="s">
        <v>28</v>
      </c>
      <c r="J133" s="1">
        <v>905944.39</v>
      </c>
      <c r="K133" t="s">
        <v>26</v>
      </c>
      <c r="L133">
        <v>154638</v>
      </c>
      <c r="M133" t="s">
        <v>338</v>
      </c>
      <c r="O133">
        <v>1</v>
      </c>
    </row>
    <row r="134" spans="1:18" x14ac:dyDescent="0.25">
      <c r="A134">
        <v>8003879954</v>
      </c>
      <c r="B134">
        <v>11</v>
      </c>
      <c r="C134">
        <v>9062017</v>
      </c>
      <c r="D134">
        <v>415</v>
      </c>
      <c r="E134" t="s">
        <v>146</v>
      </c>
      <c r="F134">
        <v>72</v>
      </c>
      <c r="G134" t="s">
        <v>337</v>
      </c>
      <c r="H134" s="1">
        <v>10</v>
      </c>
      <c r="I134" t="s">
        <v>28</v>
      </c>
      <c r="J134" s="1">
        <v>905944.99</v>
      </c>
      <c r="K134" t="s">
        <v>26</v>
      </c>
      <c r="L134">
        <v>154638</v>
      </c>
      <c r="M134" t="s">
        <v>338</v>
      </c>
      <c r="O134">
        <v>1</v>
      </c>
    </row>
    <row r="135" spans="1:18" x14ac:dyDescent="0.25">
      <c r="A135">
        <v>8003879954</v>
      </c>
      <c r="B135">
        <v>10</v>
      </c>
      <c r="C135">
        <v>9062017</v>
      </c>
      <c r="D135">
        <v>349</v>
      </c>
      <c r="E135" t="s">
        <v>35</v>
      </c>
      <c r="F135">
        <v>72</v>
      </c>
      <c r="G135" t="s">
        <v>337</v>
      </c>
      <c r="H135" s="1">
        <v>78050.880000000005</v>
      </c>
      <c r="I135" t="s">
        <v>28</v>
      </c>
      <c r="J135" s="1">
        <v>905954.99</v>
      </c>
      <c r="K135" t="s">
        <v>26</v>
      </c>
      <c r="L135">
        <v>154638</v>
      </c>
      <c r="M135" t="s">
        <v>338</v>
      </c>
      <c r="O135">
        <v>1</v>
      </c>
    </row>
    <row r="136" spans="1:18" x14ac:dyDescent="0.25">
      <c r="A136">
        <v>8003879954</v>
      </c>
      <c r="B136">
        <v>9</v>
      </c>
      <c r="C136">
        <v>9062017</v>
      </c>
      <c r="D136">
        <v>349</v>
      </c>
      <c r="E136" t="s">
        <v>35</v>
      </c>
      <c r="F136">
        <v>72</v>
      </c>
      <c r="G136" t="s">
        <v>339</v>
      </c>
      <c r="H136" s="1">
        <v>73412.820000000007</v>
      </c>
      <c r="I136" t="s">
        <v>28</v>
      </c>
      <c r="J136" s="1">
        <v>984005.87</v>
      </c>
      <c r="K136" t="s">
        <v>26</v>
      </c>
      <c r="L136">
        <v>154008</v>
      </c>
      <c r="M136" t="s">
        <v>340</v>
      </c>
      <c r="O136">
        <v>1</v>
      </c>
    </row>
    <row r="137" spans="1:18" x14ac:dyDescent="0.25">
      <c r="A137">
        <v>8003879954</v>
      </c>
      <c r="B137">
        <v>8</v>
      </c>
      <c r="C137">
        <v>9062017</v>
      </c>
      <c r="D137">
        <v>299</v>
      </c>
      <c r="E137" t="s">
        <v>44</v>
      </c>
      <c r="F137">
        <v>72</v>
      </c>
      <c r="G137" t="s">
        <v>341</v>
      </c>
      <c r="H137" s="1">
        <v>1.8</v>
      </c>
      <c r="I137" t="s">
        <v>28</v>
      </c>
      <c r="J137" s="1">
        <v>1057418.69</v>
      </c>
      <c r="K137" t="s">
        <v>26</v>
      </c>
      <c r="L137">
        <v>153349</v>
      </c>
      <c r="M137" t="s">
        <v>342</v>
      </c>
      <c r="O137">
        <v>1</v>
      </c>
    </row>
    <row r="138" spans="1:18" x14ac:dyDescent="0.25">
      <c r="A138">
        <v>8003879954</v>
      </c>
      <c r="B138">
        <v>7</v>
      </c>
      <c r="C138">
        <v>9062017</v>
      </c>
      <c r="D138">
        <v>415</v>
      </c>
      <c r="E138" t="s">
        <v>146</v>
      </c>
      <c r="F138">
        <v>72</v>
      </c>
      <c r="G138" t="s">
        <v>341</v>
      </c>
      <c r="H138" s="1">
        <v>30</v>
      </c>
      <c r="I138" t="s">
        <v>28</v>
      </c>
      <c r="J138" s="1">
        <v>1057420.49</v>
      </c>
      <c r="K138" t="s">
        <v>26</v>
      </c>
      <c r="L138">
        <v>153349</v>
      </c>
      <c r="M138" t="s">
        <v>342</v>
      </c>
      <c r="O138">
        <v>1</v>
      </c>
    </row>
    <row r="139" spans="1:18" x14ac:dyDescent="0.25">
      <c r="A139">
        <v>8003879954</v>
      </c>
      <c r="B139">
        <v>6</v>
      </c>
      <c r="C139">
        <v>9062017</v>
      </c>
      <c r="D139">
        <v>349</v>
      </c>
      <c r="E139" t="s">
        <v>35</v>
      </c>
      <c r="F139">
        <v>72</v>
      </c>
      <c r="G139" t="s">
        <v>341</v>
      </c>
      <c r="H139" s="1">
        <v>23155.22</v>
      </c>
      <c r="I139" t="s">
        <v>28</v>
      </c>
      <c r="J139" s="1">
        <v>1057450.49</v>
      </c>
      <c r="K139" t="s">
        <v>26</v>
      </c>
      <c r="L139">
        <v>153349</v>
      </c>
      <c r="M139" t="s">
        <v>342</v>
      </c>
      <c r="O139">
        <v>1</v>
      </c>
    </row>
    <row r="140" spans="1:18" x14ac:dyDescent="0.25">
      <c r="A140">
        <v>8003879954</v>
      </c>
      <c r="B140">
        <v>5</v>
      </c>
      <c r="C140">
        <v>9062017</v>
      </c>
      <c r="D140">
        <v>299</v>
      </c>
      <c r="E140" t="s">
        <v>44</v>
      </c>
      <c r="F140">
        <v>722</v>
      </c>
      <c r="G140" t="s">
        <v>343</v>
      </c>
      <c r="H140" s="1">
        <v>0.3</v>
      </c>
      <c r="I140" t="s">
        <v>28</v>
      </c>
      <c r="J140" s="1">
        <v>1080605.71</v>
      </c>
      <c r="K140" t="s">
        <v>26</v>
      </c>
      <c r="L140">
        <v>112555</v>
      </c>
      <c r="M140" t="s">
        <v>344</v>
      </c>
      <c r="O140">
        <v>1</v>
      </c>
    </row>
    <row r="141" spans="1:18" x14ac:dyDescent="0.25">
      <c r="A141">
        <v>8003879954</v>
      </c>
      <c r="B141">
        <v>4</v>
      </c>
      <c r="C141">
        <v>9062017</v>
      </c>
      <c r="D141">
        <v>489</v>
      </c>
      <c r="E141" t="s">
        <v>350</v>
      </c>
      <c r="F141">
        <v>722</v>
      </c>
      <c r="G141" t="s">
        <v>343</v>
      </c>
      <c r="H141" s="1">
        <v>5</v>
      </c>
      <c r="I141" t="s">
        <v>28</v>
      </c>
      <c r="J141" s="1">
        <v>1080606.01</v>
      </c>
      <c r="K141" t="s">
        <v>26</v>
      </c>
      <c r="L141">
        <v>112555</v>
      </c>
      <c r="M141" t="s">
        <v>344</v>
      </c>
      <c r="O141">
        <v>1</v>
      </c>
    </row>
    <row r="142" spans="1:18" x14ac:dyDescent="0.25">
      <c r="A142">
        <v>8003879954</v>
      </c>
      <c r="B142">
        <v>3</v>
      </c>
      <c r="C142">
        <v>9062017</v>
      </c>
      <c r="D142">
        <v>357</v>
      </c>
      <c r="E142" t="s">
        <v>345</v>
      </c>
      <c r="F142">
        <v>722</v>
      </c>
      <c r="G142" t="s">
        <v>343</v>
      </c>
      <c r="H142" s="1">
        <v>80000</v>
      </c>
      <c r="I142" t="s">
        <v>28</v>
      </c>
      <c r="J142" s="1">
        <v>1080611.01</v>
      </c>
      <c r="K142" t="s">
        <v>26</v>
      </c>
      <c r="L142">
        <v>112555</v>
      </c>
      <c r="M142" t="s">
        <v>344</v>
      </c>
      <c r="O142">
        <v>1</v>
      </c>
      <c r="Q142" t="s">
        <v>346</v>
      </c>
      <c r="R142" t="s">
        <v>344</v>
      </c>
    </row>
    <row r="143" spans="1:18" x14ac:dyDescent="0.25">
      <c r="A143">
        <v>8003879954</v>
      </c>
      <c r="B143">
        <v>2</v>
      </c>
      <c r="C143">
        <v>9062017</v>
      </c>
      <c r="D143">
        <v>141</v>
      </c>
      <c r="E143" t="s">
        <v>347</v>
      </c>
      <c r="F143">
        <v>722</v>
      </c>
      <c r="G143" t="s">
        <v>348</v>
      </c>
      <c r="H143" s="1">
        <v>80005.3</v>
      </c>
      <c r="I143" t="s">
        <v>26</v>
      </c>
      <c r="J143" s="1">
        <v>1160611.01</v>
      </c>
      <c r="K143" t="s">
        <v>26</v>
      </c>
      <c r="L143">
        <v>110946</v>
      </c>
      <c r="M143" t="s">
        <v>349</v>
      </c>
      <c r="O143">
        <v>1</v>
      </c>
    </row>
    <row r="144" spans="1:18" x14ac:dyDescent="0.25">
      <c r="A144">
        <v>8003879954</v>
      </c>
      <c r="B144">
        <v>1</v>
      </c>
      <c r="C144">
        <v>9062017</v>
      </c>
      <c r="D144">
        <v>321</v>
      </c>
      <c r="E144" t="s">
        <v>37</v>
      </c>
      <c r="F144">
        <v>722</v>
      </c>
      <c r="G144" t="s">
        <v>348</v>
      </c>
      <c r="H144" s="1">
        <v>80005.3</v>
      </c>
      <c r="I144" t="s">
        <v>28</v>
      </c>
      <c r="J144" s="1">
        <v>1080605.71</v>
      </c>
      <c r="K144" t="s">
        <v>26</v>
      </c>
      <c r="L144">
        <v>110823</v>
      </c>
      <c r="M144" t="s">
        <v>349</v>
      </c>
      <c r="O144">
        <v>1</v>
      </c>
    </row>
    <row r="145" spans="1:18" x14ac:dyDescent="0.25">
      <c r="A145">
        <v>8003879954</v>
      </c>
      <c r="B145">
        <v>4</v>
      </c>
      <c r="C145">
        <v>8062017</v>
      </c>
      <c r="D145">
        <v>299</v>
      </c>
      <c r="E145" t="s">
        <v>30</v>
      </c>
      <c r="H145" s="1">
        <v>0.03</v>
      </c>
      <c r="I145" t="s">
        <v>28</v>
      </c>
      <c r="J145" s="1">
        <v>1160611.01</v>
      </c>
      <c r="K145" t="s">
        <v>26</v>
      </c>
      <c r="L145">
        <v>10749</v>
      </c>
      <c r="M145" t="s">
        <v>53</v>
      </c>
      <c r="O145">
        <v>1</v>
      </c>
    </row>
    <row r="146" spans="1:18" x14ac:dyDescent="0.25">
      <c r="A146">
        <v>8003879954</v>
      </c>
      <c r="B146">
        <v>3</v>
      </c>
      <c r="C146">
        <v>8062017</v>
      </c>
      <c r="D146">
        <v>819</v>
      </c>
      <c r="E146" t="s">
        <v>32</v>
      </c>
      <c r="H146" s="1">
        <v>0.5</v>
      </c>
      <c r="I146" t="s">
        <v>28</v>
      </c>
      <c r="J146" s="1">
        <v>1160611.04</v>
      </c>
      <c r="K146" t="s">
        <v>26</v>
      </c>
      <c r="L146">
        <v>10749</v>
      </c>
      <c r="M146" t="s">
        <v>53</v>
      </c>
      <c r="O146">
        <v>1</v>
      </c>
    </row>
    <row r="147" spans="1:18" x14ac:dyDescent="0.25">
      <c r="A147">
        <v>8003879954</v>
      </c>
      <c r="B147">
        <v>2</v>
      </c>
      <c r="C147">
        <v>8062017</v>
      </c>
      <c r="D147">
        <v>323</v>
      </c>
      <c r="E147" t="s">
        <v>33</v>
      </c>
      <c r="F147">
        <v>0</v>
      </c>
      <c r="G147" t="s">
        <v>194</v>
      </c>
      <c r="H147" s="1">
        <v>1535</v>
      </c>
      <c r="I147" t="s">
        <v>28</v>
      </c>
      <c r="J147" s="1">
        <v>1160611.54</v>
      </c>
      <c r="K147" t="s">
        <v>26</v>
      </c>
      <c r="L147">
        <v>10628</v>
      </c>
      <c r="M147" t="s">
        <v>53</v>
      </c>
      <c r="O147">
        <v>1</v>
      </c>
    </row>
    <row r="148" spans="1:18" x14ac:dyDescent="0.25">
      <c r="A148">
        <v>8003879954</v>
      </c>
      <c r="B148">
        <v>1</v>
      </c>
      <c r="C148">
        <v>8062017</v>
      </c>
      <c r="D148">
        <v>998</v>
      </c>
      <c r="E148" t="s">
        <v>195</v>
      </c>
      <c r="F148">
        <v>1400</v>
      </c>
      <c r="G148" t="s">
        <v>196</v>
      </c>
      <c r="H148" s="1">
        <v>129.03</v>
      </c>
      <c r="I148" t="s">
        <v>26</v>
      </c>
      <c r="J148" s="1">
        <v>1162146.54</v>
      </c>
      <c r="K148" t="s">
        <v>26</v>
      </c>
      <c r="L148">
        <v>102504</v>
      </c>
      <c r="M148" t="s">
        <v>197</v>
      </c>
      <c r="O148">
        <v>1</v>
      </c>
      <c r="Q148" t="s">
        <v>198</v>
      </c>
      <c r="R148" t="s">
        <v>199</v>
      </c>
    </row>
    <row r="149" spans="1:18" x14ac:dyDescent="0.25">
      <c r="A149">
        <v>8003879954</v>
      </c>
      <c r="B149">
        <v>49</v>
      </c>
      <c r="C149">
        <v>7062017</v>
      </c>
      <c r="D149">
        <v>299</v>
      </c>
      <c r="E149" t="s">
        <v>30</v>
      </c>
      <c r="H149" s="1">
        <v>0.03</v>
      </c>
      <c r="I149" t="s">
        <v>28</v>
      </c>
      <c r="J149" s="1">
        <v>1162017.51</v>
      </c>
      <c r="K149" t="s">
        <v>26</v>
      </c>
      <c r="L149">
        <v>10528</v>
      </c>
      <c r="M149" t="s">
        <v>53</v>
      </c>
      <c r="O149">
        <v>1</v>
      </c>
    </row>
    <row r="150" spans="1:18" x14ac:dyDescent="0.25">
      <c r="A150">
        <v>8003879954</v>
      </c>
      <c r="B150">
        <v>48</v>
      </c>
      <c r="C150">
        <v>7062017</v>
      </c>
      <c r="D150">
        <v>819</v>
      </c>
      <c r="E150" t="s">
        <v>32</v>
      </c>
      <c r="H150" s="1">
        <v>0.5</v>
      </c>
      <c r="I150" t="s">
        <v>28</v>
      </c>
      <c r="J150" s="1">
        <v>1162017.54</v>
      </c>
      <c r="K150" t="s">
        <v>26</v>
      </c>
      <c r="L150">
        <v>10528</v>
      </c>
      <c r="M150" t="s">
        <v>53</v>
      </c>
      <c r="O150">
        <v>1</v>
      </c>
    </row>
    <row r="151" spans="1:18" x14ac:dyDescent="0.25">
      <c r="A151">
        <v>8003879954</v>
      </c>
      <c r="B151">
        <v>47</v>
      </c>
      <c r="C151">
        <v>7062017</v>
      </c>
      <c r="D151">
        <v>299</v>
      </c>
      <c r="E151" t="s">
        <v>30</v>
      </c>
      <c r="H151" s="1">
        <v>0.06</v>
      </c>
      <c r="I151" t="s">
        <v>28</v>
      </c>
      <c r="J151" s="1">
        <v>1162018.04</v>
      </c>
      <c r="K151" t="s">
        <v>26</v>
      </c>
      <c r="L151">
        <v>10528</v>
      </c>
      <c r="M151" t="s">
        <v>53</v>
      </c>
      <c r="O151">
        <v>1</v>
      </c>
    </row>
    <row r="152" spans="1:18" x14ac:dyDescent="0.25">
      <c r="A152">
        <v>8003879954</v>
      </c>
      <c r="B152">
        <v>46</v>
      </c>
      <c r="C152">
        <v>7062017</v>
      </c>
      <c r="D152">
        <v>819</v>
      </c>
      <c r="E152" t="s">
        <v>32</v>
      </c>
      <c r="H152" s="1">
        <v>1</v>
      </c>
      <c r="I152" t="s">
        <v>28</v>
      </c>
      <c r="J152" s="1">
        <v>1162018.1000000001</v>
      </c>
      <c r="K152" t="s">
        <v>26</v>
      </c>
      <c r="L152">
        <v>10528</v>
      </c>
      <c r="M152" t="s">
        <v>53</v>
      </c>
      <c r="O152">
        <v>1</v>
      </c>
    </row>
    <row r="153" spans="1:18" x14ac:dyDescent="0.25">
      <c r="A153">
        <v>8003879954</v>
      </c>
      <c r="B153">
        <v>45</v>
      </c>
      <c r="C153">
        <v>7062017</v>
      </c>
      <c r="D153">
        <v>323</v>
      </c>
      <c r="E153" t="s">
        <v>33</v>
      </c>
      <c r="F153">
        <v>0</v>
      </c>
      <c r="G153" t="s">
        <v>200</v>
      </c>
      <c r="H153" s="1">
        <v>10667.84</v>
      </c>
      <c r="I153" t="s">
        <v>28</v>
      </c>
      <c r="J153" s="1">
        <v>1162019.1000000001</v>
      </c>
      <c r="K153" t="s">
        <v>26</v>
      </c>
      <c r="L153">
        <v>10113</v>
      </c>
      <c r="M153" t="s">
        <v>53</v>
      </c>
      <c r="O153">
        <v>1</v>
      </c>
    </row>
    <row r="154" spans="1:18" x14ac:dyDescent="0.25">
      <c r="A154">
        <v>8003879954</v>
      </c>
      <c r="B154">
        <v>44</v>
      </c>
      <c r="C154">
        <v>7062017</v>
      </c>
      <c r="D154">
        <v>321</v>
      </c>
      <c r="E154" t="s">
        <v>37</v>
      </c>
      <c r="F154">
        <v>0</v>
      </c>
      <c r="G154" t="s">
        <v>201</v>
      </c>
      <c r="H154" s="1">
        <v>3987.5</v>
      </c>
      <c r="I154" t="s">
        <v>28</v>
      </c>
      <c r="J154" s="1">
        <v>1172686.94</v>
      </c>
      <c r="K154" t="s">
        <v>26</v>
      </c>
      <c r="L154">
        <v>10112</v>
      </c>
      <c r="M154" t="s">
        <v>53</v>
      </c>
      <c r="O154">
        <v>1</v>
      </c>
    </row>
    <row r="155" spans="1:18" x14ac:dyDescent="0.25">
      <c r="A155">
        <v>8003879954</v>
      </c>
      <c r="B155">
        <v>43</v>
      </c>
      <c r="C155">
        <v>7062017</v>
      </c>
      <c r="D155">
        <v>323</v>
      </c>
      <c r="E155" t="s">
        <v>33</v>
      </c>
      <c r="F155">
        <v>0</v>
      </c>
      <c r="G155" t="s">
        <v>202</v>
      </c>
      <c r="H155" s="1">
        <v>32760</v>
      </c>
      <c r="I155" t="s">
        <v>28</v>
      </c>
      <c r="J155" s="1">
        <v>1176674.44</v>
      </c>
      <c r="K155" t="s">
        <v>26</v>
      </c>
      <c r="L155">
        <v>10112</v>
      </c>
      <c r="M155" t="s">
        <v>53</v>
      </c>
      <c r="O155">
        <v>1</v>
      </c>
    </row>
    <row r="156" spans="1:18" x14ac:dyDescent="0.25">
      <c r="A156">
        <v>8003879954</v>
      </c>
      <c r="B156">
        <v>42</v>
      </c>
      <c r="C156">
        <v>7062017</v>
      </c>
      <c r="D156">
        <v>341</v>
      </c>
      <c r="E156" t="s">
        <v>29</v>
      </c>
      <c r="F156">
        <v>9938</v>
      </c>
      <c r="G156" t="s">
        <v>203</v>
      </c>
      <c r="H156" s="1">
        <v>9540</v>
      </c>
      <c r="I156" t="s">
        <v>28</v>
      </c>
      <c r="J156" s="1">
        <v>1209434.44</v>
      </c>
      <c r="K156" t="s">
        <v>26</v>
      </c>
      <c r="L156">
        <v>185414</v>
      </c>
      <c r="M156" t="s">
        <v>204</v>
      </c>
      <c r="O156">
        <v>1</v>
      </c>
      <c r="P156" t="s">
        <v>205</v>
      </c>
      <c r="Q156" t="s">
        <v>206</v>
      </c>
    </row>
    <row r="157" spans="1:18" x14ac:dyDescent="0.25">
      <c r="A157">
        <v>8003879954</v>
      </c>
      <c r="B157">
        <v>41</v>
      </c>
      <c r="C157">
        <v>7062017</v>
      </c>
      <c r="D157">
        <v>299</v>
      </c>
      <c r="E157" t="s">
        <v>30</v>
      </c>
      <c r="F157">
        <v>9938</v>
      </c>
      <c r="G157" t="s">
        <v>203</v>
      </c>
      <c r="H157" s="1">
        <v>0.01</v>
      </c>
      <c r="I157" t="s">
        <v>28</v>
      </c>
      <c r="J157" s="1">
        <v>1218974.44</v>
      </c>
      <c r="K157" t="s">
        <v>26</v>
      </c>
      <c r="L157">
        <v>185414</v>
      </c>
      <c r="M157" t="s">
        <v>207</v>
      </c>
      <c r="O157">
        <v>1</v>
      </c>
    </row>
    <row r="158" spans="1:18" x14ac:dyDescent="0.25">
      <c r="A158">
        <v>8003879954</v>
      </c>
      <c r="B158">
        <v>40</v>
      </c>
      <c r="C158">
        <v>7062017</v>
      </c>
      <c r="D158">
        <v>489</v>
      </c>
      <c r="E158" t="s">
        <v>31</v>
      </c>
      <c r="F158">
        <v>9938</v>
      </c>
      <c r="G158" t="s">
        <v>203</v>
      </c>
      <c r="H158" s="1">
        <v>0.1</v>
      </c>
      <c r="I158" t="s">
        <v>28</v>
      </c>
      <c r="J158" s="1">
        <v>1218974.45</v>
      </c>
      <c r="K158" t="s">
        <v>26</v>
      </c>
      <c r="L158">
        <v>185414</v>
      </c>
      <c r="M158" t="s">
        <v>207</v>
      </c>
      <c r="O158">
        <v>1</v>
      </c>
    </row>
    <row r="159" spans="1:18" x14ac:dyDescent="0.25">
      <c r="A159">
        <v>8003879954</v>
      </c>
      <c r="B159">
        <v>39</v>
      </c>
      <c r="C159">
        <v>7062017</v>
      </c>
      <c r="D159">
        <v>341</v>
      </c>
      <c r="E159" t="s">
        <v>29</v>
      </c>
      <c r="F159">
        <v>9938</v>
      </c>
      <c r="G159" t="s">
        <v>208</v>
      </c>
      <c r="H159" s="1">
        <v>1125</v>
      </c>
      <c r="I159" t="s">
        <v>28</v>
      </c>
      <c r="J159" s="1">
        <v>1218974.55</v>
      </c>
      <c r="K159" t="s">
        <v>26</v>
      </c>
      <c r="L159">
        <v>185407</v>
      </c>
      <c r="M159" t="s">
        <v>209</v>
      </c>
      <c r="O159">
        <v>1</v>
      </c>
      <c r="P159" t="s">
        <v>210</v>
      </c>
      <c r="Q159" t="s">
        <v>211</v>
      </c>
    </row>
    <row r="160" spans="1:18" x14ac:dyDescent="0.25">
      <c r="A160">
        <v>8003879954</v>
      </c>
      <c r="B160">
        <v>38</v>
      </c>
      <c r="C160">
        <v>7062017</v>
      </c>
      <c r="D160">
        <v>299</v>
      </c>
      <c r="E160" t="s">
        <v>30</v>
      </c>
      <c r="F160">
        <v>9938</v>
      </c>
      <c r="G160" t="s">
        <v>208</v>
      </c>
      <c r="H160" s="1">
        <v>0.01</v>
      </c>
      <c r="I160" t="s">
        <v>28</v>
      </c>
      <c r="J160" s="1">
        <v>1220099.55</v>
      </c>
      <c r="K160" t="s">
        <v>26</v>
      </c>
      <c r="L160">
        <v>185407</v>
      </c>
      <c r="M160" t="s">
        <v>212</v>
      </c>
      <c r="O160">
        <v>1</v>
      </c>
    </row>
    <row r="161" spans="1:17" x14ac:dyDescent="0.25">
      <c r="A161">
        <v>8003879954</v>
      </c>
      <c r="B161">
        <v>37</v>
      </c>
      <c r="C161">
        <v>7062017</v>
      </c>
      <c r="D161">
        <v>489</v>
      </c>
      <c r="E161" t="s">
        <v>31</v>
      </c>
      <c r="F161">
        <v>9938</v>
      </c>
      <c r="G161" t="s">
        <v>208</v>
      </c>
      <c r="H161" s="1">
        <v>0.1</v>
      </c>
      <c r="I161" t="s">
        <v>28</v>
      </c>
      <c r="J161" s="1">
        <v>1220099.56</v>
      </c>
      <c r="K161" t="s">
        <v>26</v>
      </c>
      <c r="L161">
        <v>185407</v>
      </c>
      <c r="M161" t="s">
        <v>212</v>
      </c>
      <c r="O161">
        <v>1</v>
      </c>
    </row>
    <row r="162" spans="1:17" x14ac:dyDescent="0.25">
      <c r="A162">
        <v>8003879954</v>
      </c>
      <c r="B162">
        <v>36</v>
      </c>
      <c r="C162">
        <v>7062017</v>
      </c>
      <c r="D162">
        <v>60</v>
      </c>
      <c r="E162" t="s">
        <v>43</v>
      </c>
      <c r="F162">
        <v>9938</v>
      </c>
      <c r="G162" t="s">
        <v>213</v>
      </c>
      <c r="H162" s="1">
        <v>1845</v>
      </c>
      <c r="I162" t="s">
        <v>28</v>
      </c>
      <c r="J162" s="1">
        <v>1220099.6599999999</v>
      </c>
      <c r="K162" t="s">
        <v>26</v>
      </c>
      <c r="L162">
        <v>185410</v>
      </c>
      <c r="M162" t="s">
        <v>214</v>
      </c>
      <c r="O162">
        <v>1</v>
      </c>
      <c r="P162" t="s">
        <v>215</v>
      </c>
      <c r="Q162" t="s">
        <v>216</v>
      </c>
    </row>
    <row r="163" spans="1:17" x14ac:dyDescent="0.25">
      <c r="A163">
        <v>8003879954</v>
      </c>
      <c r="B163">
        <v>35</v>
      </c>
      <c r="C163">
        <v>7062017</v>
      </c>
      <c r="D163">
        <v>341</v>
      </c>
      <c r="E163" t="s">
        <v>29</v>
      </c>
      <c r="F163">
        <v>9938</v>
      </c>
      <c r="G163" t="s">
        <v>217</v>
      </c>
      <c r="H163" s="1">
        <v>5000</v>
      </c>
      <c r="I163" t="s">
        <v>28</v>
      </c>
      <c r="J163" s="1">
        <v>1221944.6599999999</v>
      </c>
      <c r="K163" t="s">
        <v>26</v>
      </c>
      <c r="L163">
        <v>185409</v>
      </c>
      <c r="M163" t="s">
        <v>218</v>
      </c>
      <c r="O163">
        <v>1</v>
      </c>
      <c r="P163" t="s">
        <v>219</v>
      </c>
      <c r="Q163" t="s">
        <v>126</v>
      </c>
    </row>
    <row r="164" spans="1:17" x14ac:dyDescent="0.25">
      <c r="A164">
        <v>8003879954</v>
      </c>
      <c r="B164">
        <v>34</v>
      </c>
      <c r="C164">
        <v>7062017</v>
      </c>
      <c r="D164">
        <v>299</v>
      </c>
      <c r="E164" t="s">
        <v>30</v>
      </c>
      <c r="F164">
        <v>9938</v>
      </c>
      <c r="G164" t="s">
        <v>217</v>
      </c>
      <c r="H164" s="1">
        <v>0.01</v>
      </c>
      <c r="I164" t="s">
        <v>28</v>
      </c>
      <c r="J164" s="1">
        <v>1226944.6599999999</v>
      </c>
      <c r="K164" t="s">
        <v>26</v>
      </c>
      <c r="L164">
        <v>185409</v>
      </c>
      <c r="M164" t="s">
        <v>220</v>
      </c>
      <c r="O164">
        <v>1</v>
      </c>
    </row>
    <row r="165" spans="1:17" x14ac:dyDescent="0.25">
      <c r="A165">
        <v>8003879954</v>
      </c>
      <c r="B165">
        <v>33</v>
      </c>
      <c r="C165">
        <v>7062017</v>
      </c>
      <c r="D165">
        <v>489</v>
      </c>
      <c r="E165" t="s">
        <v>31</v>
      </c>
      <c r="F165">
        <v>9938</v>
      </c>
      <c r="G165" t="s">
        <v>217</v>
      </c>
      <c r="H165" s="1">
        <v>0.1</v>
      </c>
      <c r="I165" t="s">
        <v>28</v>
      </c>
      <c r="J165" s="1">
        <v>1226944.67</v>
      </c>
      <c r="K165" t="s">
        <v>26</v>
      </c>
      <c r="L165">
        <v>185409</v>
      </c>
      <c r="M165" t="s">
        <v>220</v>
      </c>
      <c r="O165">
        <v>1</v>
      </c>
    </row>
    <row r="166" spans="1:17" x14ac:dyDescent="0.25">
      <c r="A166">
        <v>8003879954</v>
      </c>
      <c r="B166">
        <v>32</v>
      </c>
      <c r="C166">
        <v>7062017</v>
      </c>
      <c r="D166">
        <v>341</v>
      </c>
      <c r="E166" t="s">
        <v>29</v>
      </c>
      <c r="F166">
        <v>9938</v>
      </c>
      <c r="G166" t="s">
        <v>221</v>
      </c>
      <c r="H166" s="1">
        <v>600</v>
      </c>
      <c r="I166" t="s">
        <v>28</v>
      </c>
      <c r="J166" s="1">
        <v>1226944.77</v>
      </c>
      <c r="K166" t="s">
        <v>26</v>
      </c>
      <c r="L166">
        <v>185409</v>
      </c>
      <c r="M166" t="s">
        <v>124</v>
      </c>
      <c r="O166">
        <v>1</v>
      </c>
      <c r="P166" t="s">
        <v>222</v>
      </c>
      <c r="Q166" t="s">
        <v>126</v>
      </c>
    </row>
    <row r="167" spans="1:17" x14ac:dyDescent="0.25">
      <c r="A167">
        <v>8003879954</v>
      </c>
      <c r="B167">
        <v>31</v>
      </c>
      <c r="C167">
        <v>7062017</v>
      </c>
      <c r="D167">
        <v>299</v>
      </c>
      <c r="E167" t="s">
        <v>30</v>
      </c>
      <c r="F167">
        <v>9938</v>
      </c>
      <c r="G167" t="s">
        <v>221</v>
      </c>
      <c r="H167" s="1">
        <v>0.01</v>
      </c>
      <c r="I167" t="s">
        <v>28</v>
      </c>
      <c r="J167" s="1">
        <v>1227544.77</v>
      </c>
      <c r="K167" t="s">
        <v>26</v>
      </c>
      <c r="L167">
        <v>185409</v>
      </c>
      <c r="M167" t="s">
        <v>223</v>
      </c>
      <c r="O167">
        <v>1</v>
      </c>
    </row>
    <row r="168" spans="1:17" x14ac:dyDescent="0.25">
      <c r="A168">
        <v>8003879954</v>
      </c>
      <c r="B168">
        <v>30</v>
      </c>
      <c r="C168">
        <v>7062017</v>
      </c>
      <c r="D168">
        <v>489</v>
      </c>
      <c r="E168" t="s">
        <v>31</v>
      </c>
      <c r="F168">
        <v>9938</v>
      </c>
      <c r="G168" t="s">
        <v>221</v>
      </c>
      <c r="H168" s="1">
        <v>0.1</v>
      </c>
      <c r="I168" t="s">
        <v>28</v>
      </c>
      <c r="J168" s="1">
        <v>1227544.78</v>
      </c>
      <c r="K168" t="s">
        <v>26</v>
      </c>
      <c r="L168">
        <v>185409</v>
      </c>
      <c r="M168" t="s">
        <v>223</v>
      </c>
      <c r="O168">
        <v>1</v>
      </c>
    </row>
    <row r="169" spans="1:17" x14ac:dyDescent="0.25">
      <c r="A169">
        <v>8003879954</v>
      </c>
      <c r="B169">
        <v>29</v>
      </c>
      <c r="C169">
        <v>7062017</v>
      </c>
      <c r="D169">
        <v>341</v>
      </c>
      <c r="E169" t="s">
        <v>29</v>
      </c>
      <c r="F169">
        <v>9938</v>
      </c>
      <c r="G169" t="s">
        <v>224</v>
      </c>
      <c r="H169" s="1">
        <v>1918.86</v>
      </c>
      <c r="I169" t="s">
        <v>28</v>
      </c>
      <c r="J169" s="1">
        <v>1227544.8799999999</v>
      </c>
      <c r="K169" t="s">
        <v>26</v>
      </c>
      <c r="L169">
        <v>185407</v>
      </c>
      <c r="M169" t="s">
        <v>225</v>
      </c>
      <c r="O169">
        <v>1</v>
      </c>
      <c r="P169" t="s">
        <v>226</v>
      </c>
      <c r="Q169" t="s">
        <v>227</v>
      </c>
    </row>
    <row r="170" spans="1:17" x14ac:dyDescent="0.25">
      <c r="A170">
        <v>8003879954</v>
      </c>
      <c r="B170">
        <v>28</v>
      </c>
      <c r="C170">
        <v>7062017</v>
      </c>
      <c r="D170">
        <v>299</v>
      </c>
      <c r="E170" t="s">
        <v>30</v>
      </c>
      <c r="F170">
        <v>9938</v>
      </c>
      <c r="G170" t="s">
        <v>224</v>
      </c>
      <c r="H170" s="1">
        <v>0.01</v>
      </c>
      <c r="I170" t="s">
        <v>28</v>
      </c>
      <c r="J170" s="1">
        <v>1229463.74</v>
      </c>
      <c r="K170" t="s">
        <v>26</v>
      </c>
      <c r="L170">
        <v>185407</v>
      </c>
      <c r="M170" t="s">
        <v>228</v>
      </c>
      <c r="O170">
        <v>1</v>
      </c>
    </row>
    <row r="171" spans="1:17" x14ac:dyDescent="0.25">
      <c r="A171">
        <v>8003879954</v>
      </c>
      <c r="B171">
        <v>27</v>
      </c>
      <c r="C171">
        <v>7062017</v>
      </c>
      <c r="D171">
        <v>489</v>
      </c>
      <c r="E171" t="s">
        <v>31</v>
      </c>
      <c r="F171">
        <v>9938</v>
      </c>
      <c r="G171" t="s">
        <v>224</v>
      </c>
      <c r="H171" s="1">
        <v>0.1</v>
      </c>
      <c r="I171" t="s">
        <v>28</v>
      </c>
      <c r="J171" s="1">
        <v>1229463.75</v>
      </c>
      <c r="K171" t="s">
        <v>26</v>
      </c>
      <c r="L171">
        <v>185407</v>
      </c>
      <c r="M171" t="s">
        <v>228</v>
      </c>
      <c r="O171">
        <v>1</v>
      </c>
    </row>
    <row r="172" spans="1:17" x14ac:dyDescent="0.25">
      <c r="A172">
        <v>8003879954</v>
      </c>
      <c r="B172">
        <v>26</v>
      </c>
      <c r="C172">
        <v>7062017</v>
      </c>
      <c r="D172">
        <v>60</v>
      </c>
      <c r="E172" t="s">
        <v>43</v>
      </c>
      <c r="F172">
        <v>9938</v>
      </c>
      <c r="G172" t="s">
        <v>229</v>
      </c>
      <c r="H172" s="1">
        <v>90</v>
      </c>
      <c r="I172" t="s">
        <v>28</v>
      </c>
      <c r="J172" s="1">
        <v>1229463.8500000001</v>
      </c>
      <c r="K172" t="s">
        <v>26</v>
      </c>
      <c r="L172">
        <v>185409</v>
      </c>
      <c r="M172" t="s">
        <v>230</v>
      </c>
      <c r="O172">
        <v>1</v>
      </c>
      <c r="P172" t="s">
        <v>231</v>
      </c>
      <c r="Q172" t="s">
        <v>232</v>
      </c>
    </row>
    <row r="173" spans="1:17" x14ac:dyDescent="0.25">
      <c r="A173">
        <v>8003879954</v>
      </c>
      <c r="B173">
        <v>25</v>
      </c>
      <c r="C173">
        <v>7062017</v>
      </c>
      <c r="D173">
        <v>341</v>
      </c>
      <c r="E173" t="s">
        <v>29</v>
      </c>
      <c r="F173">
        <v>9938</v>
      </c>
      <c r="G173" t="s">
        <v>233</v>
      </c>
      <c r="H173" s="1">
        <v>1838.04</v>
      </c>
      <c r="I173" t="s">
        <v>28</v>
      </c>
      <c r="J173" s="1">
        <v>1229553.8500000001</v>
      </c>
      <c r="K173" t="s">
        <v>26</v>
      </c>
      <c r="L173">
        <v>185407</v>
      </c>
      <c r="M173" t="s">
        <v>234</v>
      </c>
      <c r="O173">
        <v>1</v>
      </c>
      <c r="P173" t="s">
        <v>235</v>
      </c>
      <c r="Q173" t="s">
        <v>236</v>
      </c>
    </row>
    <row r="174" spans="1:17" x14ac:dyDescent="0.25">
      <c r="A174">
        <v>8003879954</v>
      </c>
      <c r="B174">
        <v>24</v>
      </c>
      <c r="C174">
        <v>7062017</v>
      </c>
      <c r="D174">
        <v>299</v>
      </c>
      <c r="E174" t="s">
        <v>30</v>
      </c>
      <c r="F174">
        <v>9938</v>
      </c>
      <c r="G174" t="s">
        <v>233</v>
      </c>
      <c r="H174" s="1">
        <v>0.01</v>
      </c>
      <c r="I174" t="s">
        <v>28</v>
      </c>
      <c r="J174" s="1">
        <v>1231391.8899999999</v>
      </c>
      <c r="K174" t="s">
        <v>26</v>
      </c>
      <c r="L174">
        <v>185407</v>
      </c>
      <c r="M174" t="s">
        <v>237</v>
      </c>
      <c r="O174">
        <v>1</v>
      </c>
    </row>
    <row r="175" spans="1:17" x14ac:dyDescent="0.25">
      <c r="A175">
        <v>8003879954</v>
      </c>
      <c r="B175">
        <v>23</v>
      </c>
      <c r="C175">
        <v>7062017</v>
      </c>
      <c r="D175">
        <v>489</v>
      </c>
      <c r="E175" t="s">
        <v>31</v>
      </c>
      <c r="F175">
        <v>9938</v>
      </c>
      <c r="G175" t="s">
        <v>233</v>
      </c>
      <c r="H175" s="1">
        <v>0.1</v>
      </c>
      <c r="I175" t="s">
        <v>28</v>
      </c>
      <c r="J175" s="1">
        <v>1231391.8999999999</v>
      </c>
      <c r="K175" t="s">
        <v>26</v>
      </c>
      <c r="L175">
        <v>185407</v>
      </c>
      <c r="M175" t="s">
        <v>237</v>
      </c>
      <c r="O175">
        <v>1</v>
      </c>
    </row>
    <row r="176" spans="1:17" x14ac:dyDescent="0.25">
      <c r="A176">
        <v>8003879954</v>
      </c>
      <c r="B176">
        <v>22</v>
      </c>
      <c r="C176">
        <v>7062017</v>
      </c>
      <c r="D176">
        <v>341</v>
      </c>
      <c r="E176" t="s">
        <v>29</v>
      </c>
      <c r="F176">
        <v>9938</v>
      </c>
      <c r="G176" t="s">
        <v>238</v>
      </c>
      <c r="H176" s="1">
        <v>1250</v>
      </c>
      <c r="I176" t="s">
        <v>28</v>
      </c>
      <c r="J176" s="1">
        <v>1231392</v>
      </c>
      <c r="K176" t="s">
        <v>26</v>
      </c>
      <c r="L176">
        <v>185407</v>
      </c>
      <c r="M176" t="s">
        <v>239</v>
      </c>
      <c r="O176">
        <v>1</v>
      </c>
      <c r="P176" t="s">
        <v>240</v>
      </c>
      <c r="Q176" t="s">
        <v>241</v>
      </c>
    </row>
    <row r="177" spans="1:17" x14ac:dyDescent="0.25">
      <c r="A177">
        <v>8003879954</v>
      </c>
      <c r="B177">
        <v>21</v>
      </c>
      <c r="C177">
        <v>7062017</v>
      </c>
      <c r="D177">
        <v>299</v>
      </c>
      <c r="E177" t="s">
        <v>30</v>
      </c>
      <c r="F177">
        <v>9938</v>
      </c>
      <c r="G177" t="s">
        <v>238</v>
      </c>
      <c r="H177" s="1">
        <v>0.01</v>
      </c>
      <c r="I177" t="s">
        <v>28</v>
      </c>
      <c r="J177" s="1">
        <v>1232642</v>
      </c>
      <c r="K177" t="s">
        <v>26</v>
      </c>
      <c r="L177">
        <v>185407</v>
      </c>
      <c r="M177" t="s">
        <v>242</v>
      </c>
      <c r="O177">
        <v>1</v>
      </c>
    </row>
    <row r="178" spans="1:17" x14ac:dyDescent="0.25">
      <c r="A178">
        <v>8003879954</v>
      </c>
      <c r="B178">
        <v>20</v>
      </c>
      <c r="C178">
        <v>7062017</v>
      </c>
      <c r="D178">
        <v>489</v>
      </c>
      <c r="E178" t="s">
        <v>31</v>
      </c>
      <c r="F178">
        <v>9938</v>
      </c>
      <c r="G178" t="s">
        <v>238</v>
      </c>
      <c r="H178" s="1">
        <v>0.1</v>
      </c>
      <c r="I178" t="s">
        <v>28</v>
      </c>
      <c r="J178" s="1">
        <v>1232642.01</v>
      </c>
      <c r="K178" t="s">
        <v>26</v>
      </c>
      <c r="L178">
        <v>185407</v>
      </c>
      <c r="M178" t="s">
        <v>242</v>
      </c>
      <c r="O178">
        <v>1</v>
      </c>
    </row>
    <row r="179" spans="1:17" x14ac:dyDescent="0.25">
      <c r="A179">
        <v>8003879954</v>
      </c>
      <c r="B179">
        <v>19</v>
      </c>
      <c r="C179">
        <v>7062017</v>
      </c>
      <c r="D179">
        <v>341</v>
      </c>
      <c r="E179" t="s">
        <v>29</v>
      </c>
      <c r="F179">
        <v>9938</v>
      </c>
      <c r="G179" t="s">
        <v>243</v>
      </c>
      <c r="H179" s="1">
        <v>7530</v>
      </c>
      <c r="I179" t="s">
        <v>28</v>
      </c>
      <c r="J179" s="1">
        <v>1232642.1100000001</v>
      </c>
      <c r="K179" t="s">
        <v>26</v>
      </c>
      <c r="L179">
        <v>185407</v>
      </c>
      <c r="M179" t="s">
        <v>83</v>
      </c>
      <c r="O179">
        <v>1</v>
      </c>
      <c r="P179" t="s">
        <v>244</v>
      </c>
      <c r="Q179" t="s">
        <v>245</v>
      </c>
    </row>
    <row r="180" spans="1:17" x14ac:dyDescent="0.25">
      <c r="A180">
        <v>8003879954</v>
      </c>
      <c r="B180">
        <v>18</v>
      </c>
      <c r="C180">
        <v>7062017</v>
      </c>
      <c r="D180">
        <v>299</v>
      </c>
      <c r="E180" t="s">
        <v>30</v>
      </c>
      <c r="F180">
        <v>9938</v>
      </c>
      <c r="G180" t="s">
        <v>243</v>
      </c>
      <c r="H180" s="1">
        <v>0.01</v>
      </c>
      <c r="I180" t="s">
        <v>28</v>
      </c>
      <c r="J180" s="1">
        <v>1240172.1100000001</v>
      </c>
      <c r="K180" t="s">
        <v>26</v>
      </c>
      <c r="L180">
        <v>185407</v>
      </c>
      <c r="M180" t="s">
        <v>246</v>
      </c>
      <c r="O180">
        <v>1</v>
      </c>
    </row>
    <row r="181" spans="1:17" x14ac:dyDescent="0.25">
      <c r="A181">
        <v>8003879954</v>
      </c>
      <c r="B181">
        <v>17</v>
      </c>
      <c r="C181">
        <v>7062017</v>
      </c>
      <c r="D181">
        <v>489</v>
      </c>
      <c r="E181" t="s">
        <v>31</v>
      </c>
      <c r="F181">
        <v>9938</v>
      </c>
      <c r="G181" t="s">
        <v>243</v>
      </c>
      <c r="H181" s="1">
        <v>0.1</v>
      </c>
      <c r="I181" t="s">
        <v>28</v>
      </c>
      <c r="J181" s="1">
        <v>1240172.1200000001</v>
      </c>
      <c r="K181" t="s">
        <v>26</v>
      </c>
      <c r="L181">
        <v>185407</v>
      </c>
      <c r="M181" t="s">
        <v>246</v>
      </c>
      <c r="O181">
        <v>1</v>
      </c>
    </row>
    <row r="182" spans="1:17" x14ac:dyDescent="0.25">
      <c r="A182">
        <v>8003879954</v>
      </c>
      <c r="B182">
        <v>16</v>
      </c>
      <c r="C182">
        <v>7062017</v>
      </c>
      <c r="D182">
        <v>345</v>
      </c>
      <c r="E182" t="s">
        <v>27</v>
      </c>
      <c r="F182">
        <v>9938</v>
      </c>
      <c r="G182" t="s">
        <v>247</v>
      </c>
      <c r="H182" s="1">
        <v>6115</v>
      </c>
      <c r="I182" t="s">
        <v>28</v>
      </c>
      <c r="J182" s="1">
        <v>1240172.22</v>
      </c>
      <c r="K182" t="s">
        <v>26</v>
      </c>
      <c r="L182">
        <v>184919</v>
      </c>
      <c r="M182" t="s">
        <v>248</v>
      </c>
      <c r="O182">
        <v>1</v>
      </c>
      <c r="P182" t="s">
        <v>249</v>
      </c>
      <c r="Q182" t="s">
        <v>250</v>
      </c>
    </row>
    <row r="183" spans="1:17" x14ac:dyDescent="0.25">
      <c r="A183">
        <v>8003879954</v>
      </c>
      <c r="B183">
        <v>15</v>
      </c>
      <c r="C183">
        <v>7062017</v>
      </c>
      <c r="D183">
        <v>345</v>
      </c>
      <c r="E183" t="s">
        <v>27</v>
      </c>
      <c r="F183">
        <v>9938</v>
      </c>
      <c r="G183" t="s">
        <v>251</v>
      </c>
      <c r="H183" s="1">
        <v>6517.5</v>
      </c>
      <c r="I183" t="s">
        <v>28</v>
      </c>
      <c r="J183" s="1">
        <v>1246287.22</v>
      </c>
      <c r="K183" t="s">
        <v>26</v>
      </c>
      <c r="L183">
        <v>184919</v>
      </c>
      <c r="M183" t="s">
        <v>252</v>
      </c>
      <c r="O183">
        <v>1</v>
      </c>
      <c r="P183" t="s">
        <v>253</v>
      </c>
      <c r="Q183" t="s">
        <v>250</v>
      </c>
    </row>
    <row r="184" spans="1:17" x14ac:dyDescent="0.25">
      <c r="A184">
        <v>8003879954</v>
      </c>
      <c r="B184">
        <v>14</v>
      </c>
      <c r="C184">
        <v>7062017</v>
      </c>
      <c r="D184">
        <v>60</v>
      </c>
      <c r="E184" t="s">
        <v>43</v>
      </c>
      <c r="F184">
        <v>9938</v>
      </c>
      <c r="G184" t="s">
        <v>254</v>
      </c>
      <c r="H184" s="1">
        <v>1802</v>
      </c>
      <c r="I184" t="s">
        <v>28</v>
      </c>
      <c r="J184" s="1">
        <v>1252804.72</v>
      </c>
      <c r="K184" t="s">
        <v>26</v>
      </c>
      <c r="L184">
        <v>184915</v>
      </c>
      <c r="M184" t="s">
        <v>255</v>
      </c>
      <c r="O184">
        <v>1</v>
      </c>
      <c r="P184" t="s">
        <v>256</v>
      </c>
      <c r="Q184" t="s">
        <v>257</v>
      </c>
    </row>
    <row r="185" spans="1:17" x14ac:dyDescent="0.25">
      <c r="A185">
        <v>8003879954</v>
      </c>
      <c r="B185">
        <v>13</v>
      </c>
      <c r="C185">
        <v>7062017</v>
      </c>
      <c r="D185">
        <v>345</v>
      </c>
      <c r="E185" t="s">
        <v>27</v>
      </c>
      <c r="F185">
        <v>9938</v>
      </c>
      <c r="G185" t="s">
        <v>258</v>
      </c>
      <c r="H185" s="1">
        <v>6017.5</v>
      </c>
      <c r="I185" t="s">
        <v>28</v>
      </c>
      <c r="J185" s="1">
        <v>1254606.72</v>
      </c>
      <c r="K185" t="s">
        <v>26</v>
      </c>
      <c r="L185">
        <v>184913</v>
      </c>
      <c r="M185" t="s">
        <v>259</v>
      </c>
      <c r="O185">
        <v>1</v>
      </c>
      <c r="P185" t="s">
        <v>260</v>
      </c>
      <c r="Q185" t="s">
        <v>250</v>
      </c>
    </row>
    <row r="186" spans="1:17" x14ac:dyDescent="0.25">
      <c r="A186">
        <v>8003879954</v>
      </c>
      <c r="B186">
        <v>12</v>
      </c>
      <c r="C186">
        <v>7062017</v>
      </c>
      <c r="D186">
        <v>345</v>
      </c>
      <c r="E186" t="s">
        <v>27</v>
      </c>
      <c r="F186">
        <v>9938</v>
      </c>
      <c r="G186" t="s">
        <v>261</v>
      </c>
      <c r="H186" s="1">
        <v>6017.5</v>
      </c>
      <c r="I186" t="s">
        <v>28</v>
      </c>
      <c r="J186" s="1">
        <v>1260624.22</v>
      </c>
      <c r="K186" t="s">
        <v>26</v>
      </c>
      <c r="L186">
        <v>184913</v>
      </c>
      <c r="M186" t="s">
        <v>262</v>
      </c>
      <c r="O186">
        <v>1</v>
      </c>
      <c r="P186" t="s">
        <v>263</v>
      </c>
      <c r="Q186" t="s">
        <v>250</v>
      </c>
    </row>
    <row r="187" spans="1:17" x14ac:dyDescent="0.25">
      <c r="A187">
        <v>8003879954</v>
      </c>
      <c r="B187">
        <v>11</v>
      </c>
      <c r="C187">
        <v>7062017</v>
      </c>
      <c r="D187">
        <v>341</v>
      </c>
      <c r="E187" t="s">
        <v>29</v>
      </c>
      <c r="F187">
        <v>9938</v>
      </c>
      <c r="G187" t="s">
        <v>264</v>
      </c>
      <c r="H187" s="1">
        <v>14</v>
      </c>
      <c r="I187" t="s">
        <v>28</v>
      </c>
      <c r="J187" s="1">
        <v>1266641.72</v>
      </c>
      <c r="K187" t="s">
        <v>26</v>
      </c>
      <c r="L187">
        <v>184915</v>
      </c>
      <c r="M187" t="s">
        <v>265</v>
      </c>
      <c r="O187">
        <v>1</v>
      </c>
      <c r="P187" t="s">
        <v>266</v>
      </c>
      <c r="Q187" t="s">
        <v>267</v>
      </c>
    </row>
    <row r="188" spans="1:17" x14ac:dyDescent="0.25">
      <c r="A188">
        <v>8003879954</v>
      </c>
      <c r="B188">
        <v>10</v>
      </c>
      <c r="C188">
        <v>7062017</v>
      </c>
      <c r="D188">
        <v>299</v>
      </c>
      <c r="E188" t="s">
        <v>30</v>
      </c>
      <c r="F188">
        <v>9938</v>
      </c>
      <c r="G188" t="s">
        <v>264</v>
      </c>
      <c r="H188" s="1">
        <v>0.01</v>
      </c>
      <c r="I188" t="s">
        <v>28</v>
      </c>
      <c r="J188" s="1">
        <v>1266655.72</v>
      </c>
      <c r="K188" t="s">
        <v>26</v>
      </c>
      <c r="L188">
        <v>184915</v>
      </c>
      <c r="M188" t="s">
        <v>268</v>
      </c>
      <c r="O188">
        <v>1</v>
      </c>
    </row>
    <row r="189" spans="1:17" x14ac:dyDescent="0.25">
      <c r="A189">
        <v>8003879954</v>
      </c>
      <c r="B189">
        <v>9</v>
      </c>
      <c r="C189">
        <v>7062017</v>
      </c>
      <c r="D189">
        <v>489</v>
      </c>
      <c r="E189" t="s">
        <v>31</v>
      </c>
      <c r="F189">
        <v>9938</v>
      </c>
      <c r="G189" t="s">
        <v>264</v>
      </c>
      <c r="H189" s="1">
        <v>0.1</v>
      </c>
      <c r="I189" t="s">
        <v>28</v>
      </c>
      <c r="J189" s="1">
        <v>1266655.73</v>
      </c>
      <c r="K189" t="s">
        <v>26</v>
      </c>
      <c r="L189">
        <v>184915</v>
      </c>
      <c r="M189" t="s">
        <v>268</v>
      </c>
      <c r="O189">
        <v>1</v>
      </c>
    </row>
    <row r="190" spans="1:17" x14ac:dyDescent="0.25">
      <c r="A190">
        <v>8003879954</v>
      </c>
      <c r="B190">
        <v>8</v>
      </c>
      <c r="C190">
        <v>7062017</v>
      </c>
      <c r="D190">
        <v>341</v>
      </c>
      <c r="E190" t="s">
        <v>29</v>
      </c>
      <c r="F190">
        <v>9938</v>
      </c>
      <c r="G190" t="s">
        <v>269</v>
      </c>
      <c r="H190" s="1">
        <v>5141.1400000000003</v>
      </c>
      <c r="I190" t="s">
        <v>28</v>
      </c>
      <c r="J190" s="1">
        <v>1266655.83</v>
      </c>
      <c r="K190" t="s">
        <v>26</v>
      </c>
      <c r="L190">
        <v>184915</v>
      </c>
      <c r="M190" t="s">
        <v>101</v>
      </c>
      <c r="O190">
        <v>1</v>
      </c>
      <c r="P190" t="s">
        <v>270</v>
      </c>
      <c r="Q190" t="s">
        <v>271</v>
      </c>
    </row>
    <row r="191" spans="1:17" x14ac:dyDescent="0.25">
      <c r="A191">
        <v>8003879954</v>
      </c>
      <c r="B191">
        <v>7</v>
      </c>
      <c r="C191">
        <v>7062017</v>
      </c>
      <c r="D191">
        <v>299</v>
      </c>
      <c r="E191" t="s">
        <v>30</v>
      </c>
      <c r="F191">
        <v>9938</v>
      </c>
      <c r="G191" t="s">
        <v>269</v>
      </c>
      <c r="H191" s="1">
        <v>0.01</v>
      </c>
      <c r="I191" t="s">
        <v>28</v>
      </c>
      <c r="J191" s="1">
        <v>1271796.97</v>
      </c>
      <c r="K191" t="s">
        <v>26</v>
      </c>
      <c r="L191">
        <v>184915</v>
      </c>
      <c r="M191" t="s">
        <v>272</v>
      </c>
      <c r="O191">
        <v>1</v>
      </c>
    </row>
    <row r="192" spans="1:17" x14ac:dyDescent="0.25">
      <c r="A192">
        <v>8003879954</v>
      </c>
      <c r="B192">
        <v>6</v>
      </c>
      <c r="C192">
        <v>7062017</v>
      </c>
      <c r="D192">
        <v>489</v>
      </c>
      <c r="E192" t="s">
        <v>31</v>
      </c>
      <c r="F192">
        <v>9938</v>
      </c>
      <c r="G192" t="s">
        <v>269</v>
      </c>
      <c r="H192" s="1">
        <v>0.1</v>
      </c>
      <c r="I192" t="s">
        <v>28</v>
      </c>
      <c r="J192" s="1">
        <v>1271796.98</v>
      </c>
      <c r="K192" t="s">
        <v>26</v>
      </c>
      <c r="L192">
        <v>184915</v>
      </c>
      <c r="M192" t="s">
        <v>272</v>
      </c>
      <c r="O192">
        <v>1</v>
      </c>
    </row>
    <row r="193" spans="1:17" x14ac:dyDescent="0.25">
      <c r="A193">
        <v>8003879954</v>
      </c>
      <c r="B193">
        <v>5</v>
      </c>
      <c r="C193">
        <v>7062017</v>
      </c>
      <c r="D193">
        <v>341</v>
      </c>
      <c r="E193" t="s">
        <v>29</v>
      </c>
      <c r="F193">
        <v>9938</v>
      </c>
      <c r="G193" t="s">
        <v>273</v>
      </c>
      <c r="H193" s="1">
        <v>234</v>
      </c>
      <c r="I193" t="s">
        <v>28</v>
      </c>
      <c r="J193" s="1">
        <v>1271797.08</v>
      </c>
      <c r="K193" t="s">
        <v>26</v>
      </c>
      <c r="L193">
        <v>184914</v>
      </c>
      <c r="M193" t="s">
        <v>274</v>
      </c>
      <c r="O193">
        <v>1</v>
      </c>
      <c r="P193" t="s">
        <v>275</v>
      </c>
      <c r="Q193" t="s">
        <v>276</v>
      </c>
    </row>
    <row r="194" spans="1:17" x14ac:dyDescent="0.25">
      <c r="A194">
        <v>8003879954</v>
      </c>
      <c r="B194">
        <v>4</v>
      </c>
      <c r="C194">
        <v>7062017</v>
      </c>
      <c r="D194">
        <v>299</v>
      </c>
      <c r="E194" t="s">
        <v>30</v>
      </c>
      <c r="F194">
        <v>9938</v>
      </c>
      <c r="G194" t="s">
        <v>273</v>
      </c>
      <c r="H194" s="1">
        <v>0.01</v>
      </c>
      <c r="I194" t="s">
        <v>28</v>
      </c>
      <c r="J194" s="1">
        <v>1272031.08</v>
      </c>
      <c r="K194" t="s">
        <v>26</v>
      </c>
      <c r="L194">
        <v>184914</v>
      </c>
      <c r="M194" t="s">
        <v>277</v>
      </c>
      <c r="O194">
        <v>1</v>
      </c>
    </row>
    <row r="195" spans="1:17" x14ac:dyDescent="0.25">
      <c r="A195">
        <v>8003879954</v>
      </c>
      <c r="B195">
        <v>3</v>
      </c>
      <c r="C195">
        <v>7062017</v>
      </c>
      <c r="D195">
        <v>489</v>
      </c>
      <c r="E195" t="s">
        <v>31</v>
      </c>
      <c r="F195">
        <v>9938</v>
      </c>
      <c r="G195" t="s">
        <v>273</v>
      </c>
      <c r="H195" s="1">
        <v>0.1</v>
      </c>
      <c r="I195" t="s">
        <v>28</v>
      </c>
      <c r="J195" s="1">
        <v>1272031.0900000001</v>
      </c>
      <c r="K195" t="s">
        <v>26</v>
      </c>
      <c r="L195">
        <v>184914</v>
      </c>
      <c r="M195" t="s">
        <v>277</v>
      </c>
      <c r="O195">
        <v>1</v>
      </c>
    </row>
    <row r="196" spans="1:17" x14ac:dyDescent="0.25">
      <c r="A196">
        <v>8003879954</v>
      </c>
      <c r="B196">
        <v>2</v>
      </c>
      <c r="C196">
        <v>7062017</v>
      </c>
      <c r="D196">
        <v>60</v>
      </c>
      <c r="E196" t="s">
        <v>43</v>
      </c>
      <c r="F196">
        <v>9938</v>
      </c>
      <c r="G196" t="s">
        <v>278</v>
      </c>
      <c r="H196" s="1">
        <v>1610</v>
      </c>
      <c r="I196" t="s">
        <v>28</v>
      </c>
      <c r="J196" s="1">
        <v>1272031.19</v>
      </c>
      <c r="K196" t="s">
        <v>26</v>
      </c>
      <c r="L196">
        <v>184913</v>
      </c>
      <c r="M196" t="s">
        <v>279</v>
      </c>
      <c r="O196">
        <v>1</v>
      </c>
      <c r="P196" t="s">
        <v>280</v>
      </c>
      <c r="Q196" t="s">
        <v>281</v>
      </c>
    </row>
    <row r="197" spans="1:17" x14ac:dyDescent="0.25">
      <c r="A197">
        <v>8003879954</v>
      </c>
      <c r="B197">
        <v>1</v>
      </c>
      <c r="C197">
        <v>7062017</v>
      </c>
      <c r="D197">
        <v>60</v>
      </c>
      <c r="E197" t="s">
        <v>43</v>
      </c>
      <c r="F197">
        <v>9938</v>
      </c>
      <c r="G197" t="s">
        <v>282</v>
      </c>
      <c r="H197" s="1">
        <v>2968</v>
      </c>
      <c r="I197" t="s">
        <v>28</v>
      </c>
      <c r="J197" s="1">
        <v>1273641.19</v>
      </c>
      <c r="K197" t="s">
        <v>26</v>
      </c>
      <c r="L197">
        <v>184913</v>
      </c>
      <c r="M197" t="s">
        <v>283</v>
      </c>
      <c r="O197">
        <v>1</v>
      </c>
      <c r="P197" t="s">
        <v>284</v>
      </c>
      <c r="Q197" t="s">
        <v>285</v>
      </c>
    </row>
    <row r="198" spans="1:17" x14ac:dyDescent="0.25">
      <c r="A198">
        <v>8003879954</v>
      </c>
      <c r="B198">
        <v>11</v>
      </c>
      <c r="C198">
        <v>5062017</v>
      </c>
      <c r="D198">
        <v>299</v>
      </c>
      <c r="E198" t="s">
        <v>30</v>
      </c>
      <c r="H198" s="1">
        <v>0.06</v>
      </c>
      <c r="I198" t="s">
        <v>28</v>
      </c>
      <c r="J198" s="1">
        <v>1276609.19</v>
      </c>
      <c r="K198" t="s">
        <v>26</v>
      </c>
      <c r="L198">
        <v>13736</v>
      </c>
      <c r="M198" t="s">
        <v>53</v>
      </c>
      <c r="O198">
        <v>1</v>
      </c>
    </row>
    <row r="199" spans="1:17" x14ac:dyDescent="0.25">
      <c r="A199">
        <v>8003879954</v>
      </c>
      <c r="B199">
        <v>10</v>
      </c>
      <c r="C199">
        <v>5062017</v>
      </c>
      <c r="D199">
        <v>819</v>
      </c>
      <c r="E199" t="s">
        <v>32</v>
      </c>
      <c r="H199" s="1">
        <v>1</v>
      </c>
      <c r="I199" t="s">
        <v>28</v>
      </c>
      <c r="J199" s="1">
        <v>1276609.25</v>
      </c>
      <c r="K199" t="s">
        <v>26</v>
      </c>
      <c r="L199">
        <v>13736</v>
      </c>
      <c r="M199" t="s">
        <v>53</v>
      </c>
      <c r="O199">
        <v>1</v>
      </c>
    </row>
    <row r="200" spans="1:17" x14ac:dyDescent="0.25">
      <c r="A200">
        <v>8003879954</v>
      </c>
      <c r="B200">
        <v>9</v>
      </c>
      <c r="C200">
        <v>5062017</v>
      </c>
      <c r="D200">
        <v>321</v>
      </c>
      <c r="E200" t="s">
        <v>37</v>
      </c>
      <c r="F200">
        <v>0</v>
      </c>
      <c r="G200" t="s">
        <v>286</v>
      </c>
      <c r="H200" s="1">
        <v>495.8</v>
      </c>
      <c r="I200" t="s">
        <v>28</v>
      </c>
      <c r="J200" s="1">
        <v>1276610.25</v>
      </c>
      <c r="K200" t="s">
        <v>26</v>
      </c>
      <c r="L200">
        <v>13632</v>
      </c>
      <c r="M200" t="s">
        <v>53</v>
      </c>
      <c r="O200">
        <v>1</v>
      </c>
    </row>
    <row r="201" spans="1:17" x14ac:dyDescent="0.25">
      <c r="A201">
        <v>8003879954</v>
      </c>
      <c r="B201">
        <v>8</v>
      </c>
      <c r="C201">
        <v>5062017</v>
      </c>
      <c r="D201">
        <v>321</v>
      </c>
      <c r="E201" t="s">
        <v>37</v>
      </c>
      <c r="F201">
        <v>0</v>
      </c>
      <c r="G201" t="s">
        <v>287</v>
      </c>
      <c r="H201" s="1">
        <v>894.3</v>
      </c>
      <c r="I201" t="s">
        <v>28</v>
      </c>
      <c r="J201" s="1">
        <v>1277106.05</v>
      </c>
      <c r="K201" t="s">
        <v>26</v>
      </c>
      <c r="L201">
        <v>13632</v>
      </c>
      <c r="M201" t="s">
        <v>53</v>
      </c>
      <c r="O201">
        <v>1</v>
      </c>
    </row>
    <row r="202" spans="1:17" x14ac:dyDescent="0.25">
      <c r="A202">
        <v>8003879954</v>
      </c>
      <c r="B202">
        <v>7</v>
      </c>
      <c r="C202">
        <v>5062017</v>
      </c>
      <c r="D202">
        <v>341</v>
      </c>
      <c r="E202" t="s">
        <v>29</v>
      </c>
      <c r="F202">
        <v>9938</v>
      </c>
      <c r="G202" t="s">
        <v>288</v>
      </c>
      <c r="H202" s="1">
        <v>2500</v>
      </c>
      <c r="I202" t="s">
        <v>28</v>
      </c>
      <c r="J202" s="1">
        <v>1278000.3500000001</v>
      </c>
      <c r="K202" t="s">
        <v>26</v>
      </c>
      <c r="L202">
        <v>140618</v>
      </c>
      <c r="M202" t="s">
        <v>139</v>
      </c>
      <c r="O202">
        <v>1</v>
      </c>
      <c r="P202" t="s">
        <v>289</v>
      </c>
      <c r="Q202" t="s">
        <v>141</v>
      </c>
    </row>
    <row r="203" spans="1:17" x14ac:dyDescent="0.25">
      <c r="A203">
        <v>8003879954</v>
      </c>
      <c r="B203">
        <v>6</v>
      </c>
      <c r="C203">
        <v>5062017</v>
      </c>
      <c r="D203">
        <v>299</v>
      </c>
      <c r="E203" t="s">
        <v>30</v>
      </c>
      <c r="F203">
        <v>9938</v>
      </c>
      <c r="G203" t="s">
        <v>288</v>
      </c>
      <c r="H203" s="1">
        <v>0.01</v>
      </c>
      <c r="I203" t="s">
        <v>28</v>
      </c>
      <c r="J203" s="1">
        <v>1280500.3500000001</v>
      </c>
      <c r="K203" t="s">
        <v>26</v>
      </c>
      <c r="L203">
        <v>140618</v>
      </c>
      <c r="M203" t="s">
        <v>290</v>
      </c>
      <c r="O203">
        <v>1</v>
      </c>
    </row>
    <row r="204" spans="1:17" x14ac:dyDescent="0.25">
      <c r="A204">
        <v>8003879954</v>
      </c>
      <c r="B204">
        <v>5</v>
      </c>
      <c r="C204">
        <v>5062017</v>
      </c>
      <c r="D204">
        <v>489</v>
      </c>
      <c r="E204" t="s">
        <v>31</v>
      </c>
      <c r="F204">
        <v>9938</v>
      </c>
      <c r="G204" t="s">
        <v>288</v>
      </c>
      <c r="H204" s="1">
        <v>0.1</v>
      </c>
      <c r="I204" t="s">
        <v>28</v>
      </c>
      <c r="J204" s="1">
        <v>1280500.3600000001</v>
      </c>
      <c r="K204" t="s">
        <v>26</v>
      </c>
      <c r="L204">
        <v>140618</v>
      </c>
      <c r="M204" t="s">
        <v>290</v>
      </c>
      <c r="O204">
        <v>1</v>
      </c>
    </row>
    <row r="205" spans="1:17" x14ac:dyDescent="0.25">
      <c r="A205">
        <v>8003879954</v>
      </c>
      <c r="B205">
        <v>4</v>
      </c>
      <c r="C205">
        <v>5062017</v>
      </c>
      <c r="D205">
        <v>345</v>
      </c>
      <c r="E205" t="s">
        <v>27</v>
      </c>
      <c r="F205">
        <v>9938</v>
      </c>
      <c r="G205" t="s">
        <v>291</v>
      </c>
      <c r="H205" s="1">
        <v>1298</v>
      </c>
      <c r="I205" t="s">
        <v>28</v>
      </c>
      <c r="J205" s="1">
        <v>1280500.46</v>
      </c>
      <c r="K205" t="s">
        <v>26</v>
      </c>
      <c r="L205">
        <v>140617</v>
      </c>
      <c r="M205" t="s">
        <v>292</v>
      </c>
      <c r="O205">
        <v>1</v>
      </c>
      <c r="P205" t="s">
        <v>293</v>
      </c>
      <c r="Q205" t="s">
        <v>74</v>
      </c>
    </row>
    <row r="206" spans="1:17" x14ac:dyDescent="0.25">
      <c r="A206">
        <v>8003879954</v>
      </c>
      <c r="B206">
        <v>3</v>
      </c>
      <c r="C206">
        <v>5062017</v>
      </c>
      <c r="D206">
        <v>345</v>
      </c>
      <c r="E206" t="s">
        <v>27</v>
      </c>
      <c r="F206">
        <v>9938</v>
      </c>
      <c r="G206" t="s">
        <v>294</v>
      </c>
      <c r="H206" s="1">
        <v>190.24</v>
      </c>
      <c r="I206" t="s">
        <v>28</v>
      </c>
      <c r="J206" s="1">
        <v>1281798.46</v>
      </c>
      <c r="K206" t="s">
        <v>26</v>
      </c>
      <c r="L206">
        <v>140616</v>
      </c>
      <c r="M206" t="s">
        <v>295</v>
      </c>
      <c r="O206">
        <v>1</v>
      </c>
      <c r="P206" t="s">
        <v>296</v>
      </c>
      <c r="Q206" t="s">
        <v>74</v>
      </c>
    </row>
    <row r="207" spans="1:17" x14ac:dyDescent="0.25">
      <c r="A207">
        <v>8003879954</v>
      </c>
      <c r="B207">
        <v>2</v>
      </c>
      <c r="C207">
        <v>5062017</v>
      </c>
      <c r="D207">
        <v>60</v>
      </c>
      <c r="E207" t="s">
        <v>43</v>
      </c>
      <c r="F207">
        <v>9938</v>
      </c>
      <c r="G207" t="s">
        <v>297</v>
      </c>
      <c r="H207" s="1">
        <v>122</v>
      </c>
      <c r="I207" t="s">
        <v>28</v>
      </c>
      <c r="J207" s="1">
        <v>1281988.7</v>
      </c>
      <c r="K207" t="s">
        <v>26</v>
      </c>
      <c r="L207">
        <v>140616</v>
      </c>
      <c r="M207" t="s">
        <v>298</v>
      </c>
      <c r="O207">
        <v>1</v>
      </c>
      <c r="P207" t="s">
        <v>299</v>
      </c>
      <c r="Q207" t="s">
        <v>300</v>
      </c>
    </row>
    <row r="208" spans="1:17" x14ac:dyDescent="0.25">
      <c r="A208">
        <v>8003879954</v>
      </c>
      <c r="B208">
        <v>1</v>
      </c>
      <c r="C208">
        <v>5062017</v>
      </c>
      <c r="D208">
        <v>212</v>
      </c>
      <c r="E208" t="s">
        <v>301</v>
      </c>
      <c r="F208">
        <v>6879</v>
      </c>
      <c r="G208" t="s">
        <v>302</v>
      </c>
      <c r="H208" s="1">
        <v>148965.23000000001</v>
      </c>
      <c r="I208" t="s">
        <v>26</v>
      </c>
      <c r="J208" s="1">
        <v>1282110.7</v>
      </c>
      <c r="K208" t="s">
        <v>26</v>
      </c>
      <c r="L208">
        <v>95556</v>
      </c>
      <c r="M208" t="s">
        <v>53</v>
      </c>
      <c r="O208">
        <v>1</v>
      </c>
    </row>
    <row r="209" spans="1:18" x14ac:dyDescent="0.25">
      <c r="A209">
        <v>8003879954</v>
      </c>
      <c r="B209">
        <v>14</v>
      </c>
      <c r="C209">
        <v>2062017</v>
      </c>
      <c r="D209">
        <v>299</v>
      </c>
      <c r="E209" t="s">
        <v>30</v>
      </c>
      <c r="H209" s="1">
        <v>0.03</v>
      </c>
      <c r="I209" t="s">
        <v>28</v>
      </c>
      <c r="J209" s="1">
        <v>1133145.47</v>
      </c>
      <c r="K209" t="s">
        <v>26</v>
      </c>
      <c r="L209">
        <v>10203</v>
      </c>
      <c r="M209" t="s">
        <v>53</v>
      </c>
      <c r="O209">
        <v>1</v>
      </c>
    </row>
    <row r="210" spans="1:18" x14ac:dyDescent="0.25">
      <c r="A210">
        <v>8003879954</v>
      </c>
      <c r="B210">
        <v>13</v>
      </c>
      <c r="C210">
        <v>2062017</v>
      </c>
      <c r="D210">
        <v>819</v>
      </c>
      <c r="E210" t="s">
        <v>32</v>
      </c>
      <c r="H210" s="1">
        <v>0.5</v>
      </c>
      <c r="I210" t="s">
        <v>28</v>
      </c>
      <c r="J210" s="1">
        <v>1133145.5</v>
      </c>
      <c r="K210" t="s">
        <v>26</v>
      </c>
      <c r="L210">
        <v>10203</v>
      </c>
      <c r="M210" t="s">
        <v>53</v>
      </c>
      <c r="O210">
        <v>1</v>
      </c>
    </row>
    <row r="211" spans="1:18" x14ac:dyDescent="0.25">
      <c r="A211">
        <v>8003879954</v>
      </c>
      <c r="B211">
        <v>12</v>
      </c>
      <c r="C211">
        <v>2062017</v>
      </c>
      <c r="D211">
        <v>299</v>
      </c>
      <c r="E211" t="s">
        <v>30</v>
      </c>
      <c r="H211" s="1">
        <v>0.21</v>
      </c>
      <c r="I211" t="s">
        <v>28</v>
      </c>
      <c r="J211" s="1">
        <v>1133146</v>
      </c>
      <c r="K211" t="s">
        <v>26</v>
      </c>
      <c r="L211">
        <v>10203</v>
      </c>
      <c r="M211" t="s">
        <v>53</v>
      </c>
      <c r="O211">
        <v>1</v>
      </c>
    </row>
    <row r="212" spans="1:18" x14ac:dyDescent="0.25">
      <c r="A212">
        <v>8003879954</v>
      </c>
      <c r="B212">
        <v>11</v>
      </c>
      <c r="C212">
        <v>2062017</v>
      </c>
      <c r="D212">
        <v>819</v>
      </c>
      <c r="E212" t="s">
        <v>32</v>
      </c>
      <c r="H212" s="1">
        <v>3.5</v>
      </c>
      <c r="I212" t="s">
        <v>28</v>
      </c>
      <c r="J212" s="1">
        <v>1133146.21</v>
      </c>
      <c r="K212" t="s">
        <v>26</v>
      </c>
      <c r="L212">
        <v>10203</v>
      </c>
      <c r="M212" t="s">
        <v>53</v>
      </c>
      <c r="O212">
        <v>1</v>
      </c>
    </row>
    <row r="213" spans="1:18" x14ac:dyDescent="0.25">
      <c r="A213">
        <v>8003879954</v>
      </c>
      <c r="B213">
        <v>10</v>
      </c>
      <c r="C213">
        <v>2062017</v>
      </c>
      <c r="D213">
        <v>323</v>
      </c>
      <c r="E213" t="s">
        <v>33</v>
      </c>
      <c r="F213">
        <v>0</v>
      </c>
      <c r="G213" t="s">
        <v>303</v>
      </c>
      <c r="H213" s="1">
        <v>28100.87</v>
      </c>
      <c r="I213" t="s">
        <v>28</v>
      </c>
      <c r="J213" s="1">
        <v>1133149.71</v>
      </c>
      <c r="K213" t="s">
        <v>26</v>
      </c>
      <c r="L213">
        <v>5951</v>
      </c>
      <c r="M213" t="s">
        <v>53</v>
      </c>
      <c r="O213">
        <v>1</v>
      </c>
    </row>
    <row r="214" spans="1:18" x14ac:dyDescent="0.25">
      <c r="A214">
        <v>8003879954</v>
      </c>
      <c r="B214">
        <v>9</v>
      </c>
      <c r="C214">
        <v>2062017</v>
      </c>
      <c r="D214">
        <v>323</v>
      </c>
      <c r="E214" t="s">
        <v>33</v>
      </c>
      <c r="F214">
        <v>0</v>
      </c>
      <c r="G214" t="s">
        <v>304</v>
      </c>
      <c r="H214" s="1">
        <v>15308.52</v>
      </c>
      <c r="I214" t="s">
        <v>28</v>
      </c>
      <c r="J214" s="1">
        <v>1161250.58</v>
      </c>
      <c r="K214" t="s">
        <v>26</v>
      </c>
      <c r="L214">
        <v>5951</v>
      </c>
      <c r="M214" t="s">
        <v>53</v>
      </c>
      <c r="O214">
        <v>1</v>
      </c>
    </row>
    <row r="215" spans="1:18" x14ac:dyDescent="0.25">
      <c r="A215">
        <v>8003879954</v>
      </c>
      <c r="B215">
        <v>8</v>
      </c>
      <c r="C215">
        <v>2062017</v>
      </c>
      <c r="D215">
        <v>323</v>
      </c>
      <c r="E215" t="s">
        <v>33</v>
      </c>
      <c r="F215">
        <v>0</v>
      </c>
      <c r="G215" t="s">
        <v>305</v>
      </c>
      <c r="H215" s="1">
        <v>25440</v>
      </c>
      <c r="I215" t="s">
        <v>28</v>
      </c>
      <c r="J215" s="1">
        <v>1176559.1000000001</v>
      </c>
      <c r="K215" t="s">
        <v>26</v>
      </c>
      <c r="L215">
        <v>5951</v>
      </c>
      <c r="M215" t="s">
        <v>53</v>
      </c>
      <c r="O215">
        <v>1</v>
      </c>
    </row>
    <row r="216" spans="1:18" x14ac:dyDescent="0.25">
      <c r="A216">
        <v>8003879954</v>
      </c>
      <c r="B216">
        <v>7</v>
      </c>
      <c r="C216">
        <v>2062017</v>
      </c>
      <c r="D216">
        <v>323</v>
      </c>
      <c r="E216" t="s">
        <v>33</v>
      </c>
      <c r="F216">
        <v>0</v>
      </c>
      <c r="G216" t="s">
        <v>306</v>
      </c>
      <c r="H216" s="1">
        <v>42135</v>
      </c>
      <c r="I216" t="s">
        <v>28</v>
      </c>
      <c r="J216" s="1">
        <v>1201999.1000000001</v>
      </c>
      <c r="K216" t="s">
        <v>26</v>
      </c>
      <c r="L216">
        <v>5951</v>
      </c>
      <c r="M216" t="s">
        <v>53</v>
      </c>
      <c r="O216">
        <v>1</v>
      </c>
    </row>
    <row r="217" spans="1:18" x14ac:dyDescent="0.25">
      <c r="A217">
        <v>8003879954</v>
      </c>
      <c r="B217">
        <v>6</v>
      </c>
      <c r="C217">
        <v>2062017</v>
      </c>
      <c r="D217">
        <v>321</v>
      </c>
      <c r="E217" t="s">
        <v>37</v>
      </c>
      <c r="F217">
        <v>0</v>
      </c>
      <c r="G217" t="s">
        <v>307</v>
      </c>
      <c r="H217" s="1">
        <v>148965.23000000001</v>
      </c>
      <c r="I217" t="s">
        <v>28</v>
      </c>
      <c r="J217" s="1">
        <v>1244134.1000000001</v>
      </c>
      <c r="K217" t="s">
        <v>26</v>
      </c>
      <c r="L217">
        <v>5951</v>
      </c>
      <c r="M217" t="s">
        <v>53</v>
      </c>
      <c r="O217">
        <v>1</v>
      </c>
    </row>
    <row r="218" spans="1:18" x14ac:dyDescent="0.25">
      <c r="A218">
        <v>8003879954</v>
      </c>
      <c r="B218">
        <v>5</v>
      </c>
      <c r="C218">
        <v>2062017</v>
      </c>
      <c r="D218">
        <v>323</v>
      </c>
      <c r="E218" t="s">
        <v>33</v>
      </c>
      <c r="F218">
        <v>0</v>
      </c>
      <c r="G218" t="s">
        <v>308</v>
      </c>
      <c r="H218" s="1">
        <v>12720</v>
      </c>
      <c r="I218" t="s">
        <v>28</v>
      </c>
      <c r="J218" s="1">
        <v>1393099.33</v>
      </c>
      <c r="K218" t="s">
        <v>26</v>
      </c>
      <c r="L218">
        <v>5951</v>
      </c>
      <c r="M218" t="s">
        <v>53</v>
      </c>
      <c r="O218">
        <v>1</v>
      </c>
    </row>
    <row r="219" spans="1:18" x14ac:dyDescent="0.25">
      <c r="A219">
        <v>8003879954</v>
      </c>
      <c r="B219">
        <v>4</v>
      </c>
      <c r="C219">
        <v>2062017</v>
      </c>
      <c r="D219">
        <v>323</v>
      </c>
      <c r="E219" t="s">
        <v>33</v>
      </c>
      <c r="F219">
        <v>0</v>
      </c>
      <c r="G219" t="s">
        <v>309</v>
      </c>
      <c r="H219" s="1">
        <v>18240</v>
      </c>
      <c r="I219" t="s">
        <v>28</v>
      </c>
      <c r="J219" s="1">
        <v>1405819.33</v>
      </c>
      <c r="K219" t="s">
        <v>26</v>
      </c>
      <c r="L219">
        <v>5951</v>
      </c>
      <c r="M219" t="s">
        <v>53</v>
      </c>
      <c r="O219">
        <v>1</v>
      </c>
    </row>
    <row r="220" spans="1:18" x14ac:dyDescent="0.25">
      <c r="A220">
        <v>8003879954</v>
      </c>
      <c r="B220">
        <v>3</v>
      </c>
      <c r="C220">
        <v>2062017</v>
      </c>
      <c r="D220">
        <v>323</v>
      </c>
      <c r="E220" t="s">
        <v>33</v>
      </c>
      <c r="F220">
        <v>0</v>
      </c>
      <c r="G220" t="s">
        <v>310</v>
      </c>
      <c r="H220" s="1">
        <v>50000</v>
      </c>
      <c r="I220" t="s">
        <v>28</v>
      </c>
      <c r="J220" s="1">
        <v>1424059.33</v>
      </c>
      <c r="K220" t="s">
        <v>26</v>
      </c>
      <c r="L220">
        <v>5951</v>
      </c>
      <c r="M220" t="s">
        <v>53</v>
      </c>
      <c r="O220">
        <v>1</v>
      </c>
    </row>
    <row r="221" spans="1:18" x14ac:dyDescent="0.25">
      <c r="A221">
        <v>8003879954</v>
      </c>
      <c r="B221">
        <v>2</v>
      </c>
      <c r="C221">
        <v>2062017</v>
      </c>
      <c r="D221">
        <v>174</v>
      </c>
      <c r="E221" t="s">
        <v>39</v>
      </c>
      <c r="F221">
        <v>2001</v>
      </c>
      <c r="G221" t="s">
        <v>185</v>
      </c>
      <c r="H221" s="1">
        <v>2000</v>
      </c>
      <c r="I221" t="s">
        <v>26</v>
      </c>
      <c r="J221" s="1">
        <v>1474059.33</v>
      </c>
      <c r="K221" t="s">
        <v>26</v>
      </c>
      <c r="L221">
        <v>220915</v>
      </c>
      <c r="M221" t="s">
        <v>311</v>
      </c>
      <c r="O221">
        <v>1</v>
      </c>
      <c r="P221" t="s">
        <v>311</v>
      </c>
      <c r="Q221" t="s">
        <v>311</v>
      </c>
      <c r="R221" t="s">
        <v>312</v>
      </c>
    </row>
    <row r="222" spans="1:18" x14ac:dyDescent="0.25">
      <c r="A222">
        <v>8003879954</v>
      </c>
      <c r="B222">
        <v>1</v>
      </c>
      <c r="C222">
        <v>2062017</v>
      </c>
      <c r="D222">
        <v>141</v>
      </c>
      <c r="E222" t="s">
        <v>36</v>
      </c>
      <c r="F222">
        <v>4571</v>
      </c>
      <c r="G222" t="s">
        <v>313</v>
      </c>
      <c r="H222" s="1">
        <v>870.25</v>
      </c>
      <c r="I222" t="s">
        <v>26</v>
      </c>
      <c r="J222" s="1">
        <v>1472059.33</v>
      </c>
      <c r="K222" t="s">
        <v>26</v>
      </c>
      <c r="L222">
        <v>110912</v>
      </c>
      <c r="M222" t="s">
        <v>53</v>
      </c>
      <c r="O222">
        <v>1</v>
      </c>
      <c r="P222" t="s">
        <v>314</v>
      </c>
      <c r="R222" t="s">
        <v>315</v>
      </c>
    </row>
    <row r="223" spans="1:18" x14ac:dyDescent="0.25">
      <c r="A223">
        <v>8003879954</v>
      </c>
      <c r="B223">
        <v>82</v>
      </c>
      <c r="C223">
        <v>1062017</v>
      </c>
      <c r="D223">
        <v>123</v>
      </c>
      <c r="E223" t="str">
        <f>"2D LOCAL CHQ"</f>
        <v>2D LOCAL CHQ</v>
      </c>
      <c r="F223">
        <v>2007</v>
      </c>
      <c r="G223" t="str">
        <f>"24085733"</f>
        <v>24085733</v>
      </c>
      <c r="H223" s="1">
        <v>4000</v>
      </c>
      <c r="I223" t="s">
        <v>26</v>
      </c>
      <c r="J223" s="1">
        <v>1471189.08</v>
      </c>
      <c r="K223" t="s">
        <v>26</v>
      </c>
      <c r="L223">
        <v>191619</v>
      </c>
      <c r="M223" t="str">
        <f>""</f>
        <v/>
      </c>
      <c r="O223">
        <v>1</v>
      </c>
    </row>
    <row r="224" spans="1:18" x14ac:dyDescent="0.25">
      <c r="A224">
        <v>8003879954</v>
      </c>
      <c r="B224">
        <v>81</v>
      </c>
      <c r="C224">
        <v>1062017</v>
      </c>
      <c r="D224">
        <v>345</v>
      </c>
      <c r="E224" t="str">
        <f>"TR TO SAVINGS"</f>
        <v>TR TO SAVINGS</v>
      </c>
      <c r="F224">
        <v>9938</v>
      </c>
      <c r="G224" t="str">
        <f>"17218526"</f>
        <v>17218526</v>
      </c>
      <c r="H224" s="1">
        <v>152.5</v>
      </c>
      <c r="I224" t="s">
        <v>28</v>
      </c>
      <c r="J224" s="1">
        <v>1467189.08</v>
      </c>
      <c r="K224" t="s">
        <v>26</v>
      </c>
      <c r="L224">
        <v>184751</v>
      </c>
      <c r="M224" t="str">
        <f>"CLAIMS LEONG WEI LENG"</f>
        <v>CLAIMS LEONG WEI LENG</v>
      </c>
      <c r="O224">
        <v>1</v>
      </c>
      <c r="P224" t="str">
        <f>"PGTEFT2350"</f>
        <v>PGTEFT2350</v>
      </c>
      <c r="Q224" t="str">
        <f>"PTE-JOHOR"</f>
        <v>PTE-JOHOR</v>
      </c>
    </row>
    <row r="225" spans="1:18" x14ac:dyDescent="0.25">
      <c r="A225">
        <v>8003879954</v>
      </c>
      <c r="B225">
        <v>80</v>
      </c>
      <c r="C225">
        <v>1062017</v>
      </c>
      <c r="D225">
        <v>341</v>
      </c>
      <c r="E225" t="str">
        <f>"TR IBG"</f>
        <v>TR IBG</v>
      </c>
      <c r="F225">
        <v>9938</v>
      </c>
      <c r="G225" t="str">
        <f>"17218379"</f>
        <v>17218379</v>
      </c>
      <c r="H225" s="1">
        <v>850</v>
      </c>
      <c r="I225" t="s">
        <v>28</v>
      </c>
      <c r="J225" s="1">
        <v>1467341.58</v>
      </c>
      <c r="K225" t="s">
        <v>26</v>
      </c>
      <c r="L225">
        <v>184750</v>
      </c>
      <c r="M225" t="str">
        <f>"JAYKODI RESOURCES"</f>
        <v>JAYKODI RESOURCES</v>
      </c>
      <c r="O225">
        <v>1</v>
      </c>
      <c r="P225" t="str">
        <f>"PGTEFT2351"</f>
        <v>PGTEFT2351</v>
      </c>
    </row>
    <row r="226" spans="1:18" x14ac:dyDescent="0.25">
      <c r="A226">
        <v>8003879954</v>
      </c>
      <c r="B226">
        <v>79</v>
      </c>
      <c r="C226">
        <v>1062017</v>
      </c>
      <c r="D226">
        <v>299</v>
      </c>
      <c r="E226" t="str">
        <f>"GST"</f>
        <v>GST</v>
      </c>
      <c r="F226">
        <v>9938</v>
      </c>
      <c r="G226" t="str">
        <f>"17218379"</f>
        <v>17218379</v>
      </c>
      <c r="H226" s="1">
        <v>0.01</v>
      </c>
      <c r="I226" t="s">
        <v>28</v>
      </c>
      <c r="J226" s="1">
        <v>1468191.58</v>
      </c>
      <c r="K226" t="s">
        <v>26</v>
      </c>
      <c r="L226">
        <v>184750</v>
      </c>
      <c r="M226" t="str">
        <f>"PGTEFT2351"</f>
        <v>PGTEFT2351</v>
      </c>
      <c r="O226">
        <v>1</v>
      </c>
    </row>
    <row r="227" spans="1:18" x14ac:dyDescent="0.25">
      <c r="A227">
        <v>8003879954</v>
      </c>
      <c r="B227">
        <v>78</v>
      </c>
      <c r="C227">
        <v>1062017</v>
      </c>
      <c r="D227">
        <v>489</v>
      </c>
      <c r="E227" t="str">
        <f>"OTHER TRANSFER FEE"</f>
        <v>OTHER TRANSFER FEE</v>
      </c>
      <c r="F227">
        <v>9938</v>
      </c>
      <c r="G227" t="str">
        <f>"17218379"</f>
        <v>17218379</v>
      </c>
      <c r="H227" s="1">
        <v>0.1</v>
      </c>
      <c r="I227" t="s">
        <v>28</v>
      </c>
      <c r="J227" s="1">
        <v>1468191.59</v>
      </c>
      <c r="K227" t="s">
        <v>26</v>
      </c>
      <c r="L227">
        <v>184750</v>
      </c>
      <c r="M227" t="str">
        <f>"PGTEFT2351"</f>
        <v>PGTEFT2351</v>
      </c>
      <c r="O227">
        <v>1</v>
      </c>
    </row>
    <row r="228" spans="1:18" x14ac:dyDescent="0.25">
      <c r="A228">
        <v>8003879954</v>
      </c>
      <c r="B228">
        <v>77</v>
      </c>
      <c r="C228">
        <v>1062017</v>
      </c>
      <c r="D228">
        <v>341</v>
      </c>
      <c r="E228" t="str">
        <f>"TR IBG"</f>
        <v>TR IBG</v>
      </c>
      <c r="F228">
        <v>9938</v>
      </c>
      <c r="G228" t="str">
        <f>"17218740"</f>
        <v>17218740</v>
      </c>
      <c r="H228" s="1">
        <v>46.13</v>
      </c>
      <c r="I228" t="s">
        <v>28</v>
      </c>
      <c r="J228" s="1">
        <v>1468191.69</v>
      </c>
      <c r="K228" t="s">
        <v>26</v>
      </c>
      <c r="L228">
        <v>184749</v>
      </c>
      <c r="M228" t="str">
        <f>"TNT EXPRESS WORLDWID"</f>
        <v>TNT EXPRESS WORLDWID</v>
      </c>
      <c r="O228">
        <v>1</v>
      </c>
      <c r="P228" t="str">
        <f>"PGTEFT2349"</f>
        <v>PGTEFT2349</v>
      </c>
      <c r="Q228" t="str">
        <f>"ACC233560"</f>
        <v>ACC233560</v>
      </c>
    </row>
    <row r="229" spans="1:18" x14ac:dyDescent="0.25">
      <c r="A229">
        <v>8003879954</v>
      </c>
      <c r="B229">
        <v>76</v>
      </c>
      <c r="C229">
        <v>1062017</v>
      </c>
      <c r="D229">
        <v>299</v>
      </c>
      <c r="E229" t="str">
        <f>"GST"</f>
        <v>GST</v>
      </c>
      <c r="F229">
        <v>9938</v>
      </c>
      <c r="G229" t="str">
        <f>"17218740"</f>
        <v>17218740</v>
      </c>
      <c r="H229" s="1">
        <v>0.01</v>
      </c>
      <c r="I229" t="s">
        <v>28</v>
      </c>
      <c r="J229" s="1">
        <v>1468237.82</v>
      </c>
      <c r="K229" t="s">
        <v>26</v>
      </c>
      <c r="L229">
        <v>184749</v>
      </c>
      <c r="M229" t="str">
        <f>"PGTEFT2349          ACC233560"</f>
        <v>PGTEFT2349          ACC233560</v>
      </c>
      <c r="O229">
        <v>1</v>
      </c>
    </row>
    <row r="230" spans="1:18" x14ac:dyDescent="0.25">
      <c r="A230">
        <v>8003879954</v>
      </c>
      <c r="B230">
        <v>75</v>
      </c>
      <c r="C230">
        <v>1062017</v>
      </c>
      <c r="D230">
        <v>489</v>
      </c>
      <c r="E230" t="str">
        <f>"OTHER TRANSFER FEE"</f>
        <v>OTHER TRANSFER FEE</v>
      </c>
      <c r="F230">
        <v>9938</v>
      </c>
      <c r="G230" t="str">
        <f>"17218740"</f>
        <v>17218740</v>
      </c>
      <c r="H230" s="1">
        <v>0.1</v>
      </c>
      <c r="I230" t="s">
        <v>28</v>
      </c>
      <c r="J230" s="1">
        <v>1468237.83</v>
      </c>
      <c r="K230" t="s">
        <v>26</v>
      </c>
      <c r="L230">
        <v>184749</v>
      </c>
      <c r="M230" t="str">
        <f>"PGTEFT2349          ACC233560"</f>
        <v>PGTEFT2349          ACC233560</v>
      </c>
      <c r="O230">
        <v>1</v>
      </c>
      <c r="R230" t="str">
        <f>"LOH GUAN LYE &amp; SONS"</f>
        <v>LOH GUAN LYE &amp; SONS</v>
      </c>
    </row>
    <row r="231" spans="1:18" x14ac:dyDescent="0.25">
      <c r="A231">
        <v>8003879954</v>
      </c>
      <c r="B231">
        <v>74</v>
      </c>
      <c r="C231">
        <v>1062017</v>
      </c>
      <c r="D231">
        <v>341</v>
      </c>
      <c r="E231" t="str">
        <f>"TR IBG"</f>
        <v>TR IBG</v>
      </c>
      <c r="F231">
        <v>9938</v>
      </c>
      <c r="G231" t="str">
        <f>"17221037"</f>
        <v>17221037</v>
      </c>
      <c r="H231" s="1">
        <v>3731.2</v>
      </c>
      <c r="I231" t="s">
        <v>28</v>
      </c>
      <c r="J231" s="1">
        <v>1468237.93</v>
      </c>
      <c r="K231" t="s">
        <v>26</v>
      </c>
      <c r="L231">
        <v>184613</v>
      </c>
      <c r="M231" t="str">
        <f>"K TWO TRADING"</f>
        <v>K TWO TRADING</v>
      </c>
      <c r="O231">
        <v>1</v>
      </c>
      <c r="P231" t="str">
        <f>"PGTEFT2346"</f>
        <v>PGTEFT2346</v>
      </c>
      <c r="Q231" t="str">
        <f>"C5138"</f>
        <v>C5138</v>
      </c>
    </row>
    <row r="232" spans="1:18" x14ac:dyDescent="0.25">
      <c r="A232">
        <v>8003879954</v>
      </c>
      <c r="B232">
        <v>73</v>
      </c>
      <c r="C232">
        <v>1062017</v>
      </c>
      <c r="D232">
        <v>299</v>
      </c>
      <c r="E232" t="str">
        <f>"GST"</f>
        <v>GST</v>
      </c>
      <c r="F232">
        <v>9938</v>
      </c>
      <c r="G232" t="str">
        <f>"17221037"</f>
        <v>17221037</v>
      </c>
      <c r="H232" s="1">
        <v>0.01</v>
      </c>
      <c r="I232" t="s">
        <v>28</v>
      </c>
      <c r="J232" s="1">
        <v>1471969.13</v>
      </c>
      <c r="K232" t="s">
        <v>26</v>
      </c>
      <c r="L232">
        <v>184613</v>
      </c>
      <c r="M232" t="str">
        <f>"PGTEFT2346          C5138"</f>
        <v>PGTEFT2346          C5138</v>
      </c>
      <c r="O232">
        <v>1</v>
      </c>
    </row>
    <row r="233" spans="1:18" x14ac:dyDescent="0.25">
      <c r="A233">
        <v>8003879954</v>
      </c>
      <c r="B233">
        <v>72</v>
      </c>
      <c r="C233">
        <v>1062017</v>
      </c>
      <c r="D233">
        <v>489</v>
      </c>
      <c r="E233" t="str">
        <f>"OTHER TRANSFER FEE"</f>
        <v>OTHER TRANSFER FEE</v>
      </c>
      <c r="F233">
        <v>9938</v>
      </c>
      <c r="G233" t="str">
        <f>"17221037"</f>
        <v>17221037</v>
      </c>
      <c r="H233" s="1">
        <v>0.1</v>
      </c>
      <c r="I233" t="s">
        <v>28</v>
      </c>
      <c r="J233" s="1">
        <v>1471969.14</v>
      </c>
      <c r="K233" t="s">
        <v>26</v>
      </c>
      <c r="L233">
        <v>184613</v>
      </c>
      <c r="M233" t="str">
        <f>"PGTEFT2346          C5138"</f>
        <v>PGTEFT2346          C5138</v>
      </c>
      <c r="O233">
        <v>1</v>
      </c>
    </row>
    <row r="234" spans="1:18" x14ac:dyDescent="0.25">
      <c r="A234">
        <v>8003879954</v>
      </c>
      <c r="B234">
        <v>71</v>
      </c>
      <c r="C234">
        <v>1062017</v>
      </c>
      <c r="D234">
        <v>341</v>
      </c>
      <c r="E234" t="str">
        <f>"TR IBG"</f>
        <v>TR IBG</v>
      </c>
      <c r="F234">
        <v>9938</v>
      </c>
      <c r="G234" t="str">
        <f>"17235725"</f>
        <v>17235725</v>
      </c>
      <c r="H234" s="1">
        <v>280</v>
      </c>
      <c r="I234" t="s">
        <v>28</v>
      </c>
      <c r="J234" s="1">
        <v>1471969.24</v>
      </c>
      <c r="K234" t="s">
        <v>26</v>
      </c>
      <c r="L234">
        <v>184613</v>
      </c>
      <c r="M234" t="str">
        <f>"STAR MEDIA GROUP BER"</f>
        <v>STAR MEDIA GROUP BER</v>
      </c>
      <c r="O234">
        <v>1</v>
      </c>
      <c r="P234" t="str">
        <f>"PGTEFT2339"</f>
        <v>PGTEFT2339</v>
      </c>
      <c r="Q234" t="str">
        <f>"NEWSPAPER SUBCRIPTIO"</f>
        <v>NEWSPAPER SUBCRIPTIO</v>
      </c>
    </row>
    <row r="235" spans="1:18" x14ac:dyDescent="0.25">
      <c r="A235">
        <v>8003879954</v>
      </c>
      <c r="B235">
        <v>70</v>
      </c>
      <c r="C235">
        <v>1062017</v>
      </c>
      <c r="D235">
        <v>299</v>
      </c>
      <c r="E235" t="str">
        <f>"GST"</f>
        <v>GST</v>
      </c>
      <c r="F235">
        <v>9938</v>
      </c>
      <c r="G235" t="str">
        <f>"17235725"</f>
        <v>17235725</v>
      </c>
      <c r="H235" s="1">
        <v>0.01</v>
      </c>
      <c r="I235" t="s">
        <v>28</v>
      </c>
      <c r="J235" s="1">
        <v>1472249.24</v>
      </c>
      <c r="K235" t="s">
        <v>26</v>
      </c>
      <c r="L235">
        <v>184613</v>
      </c>
      <c r="M235" t="str">
        <f>"PGTEFT2339          NEWSPAPER SUBCRIPTIO"</f>
        <v>PGTEFT2339          NEWSPAPER SUBCRIPTIO</v>
      </c>
      <c r="O235">
        <v>1</v>
      </c>
    </row>
    <row r="236" spans="1:18" x14ac:dyDescent="0.25">
      <c r="A236">
        <v>8003879954</v>
      </c>
      <c r="B236">
        <v>69</v>
      </c>
      <c r="C236">
        <v>1062017</v>
      </c>
      <c r="D236">
        <v>489</v>
      </c>
      <c r="E236" t="str">
        <f>"OTHER TRANSFER FEE"</f>
        <v>OTHER TRANSFER FEE</v>
      </c>
      <c r="F236">
        <v>9938</v>
      </c>
      <c r="G236" t="str">
        <f>"17235725"</f>
        <v>17235725</v>
      </c>
      <c r="H236" s="1">
        <v>0.1</v>
      </c>
      <c r="I236" t="s">
        <v>28</v>
      </c>
      <c r="J236" s="1">
        <v>1472249.25</v>
      </c>
      <c r="K236" t="s">
        <v>26</v>
      </c>
      <c r="L236">
        <v>184613</v>
      </c>
      <c r="M236" t="str">
        <f>"PGTEFT2339          NEWSPAPER SUBCRIPTIO"</f>
        <v>PGTEFT2339          NEWSPAPER SUBCRIPTIO</v>
      </c>
      <c r="O236">
        <v>1</v>
      </c>
    </row>
    <row r="237" spans="1:18" x14ac:dyDescent="0.25">
      <c r="A237">
        <v>8003879954</v>
      </c>
      <c r="B237">
        <v>68</v>
      </c>
      <c r="C237">
        <v>1062017</v>
      </c>
      <c r="D237">
        <v>341</v>
      </c>
      <c r="E237" t="str">
        <f>"TR IBG"</f>
        <v>TR IBG</v>
      </c>
      <c r="F237">
        <v>9938</v>
      </c>
      <c r="G237" t="str">
        <f>"17221799"</f>
        <v>17221799</v>
      </c>
      <c r="H237" s="1">
        <v>5565</v>
      </c>
      <c r="I237" t="s">
        <v>28</v>
      </c>
      <c r="J237" s="1">
        <v>1472249.35</v>
      </c>
      <c r="K237" t="s">
        <v>26</v>
      </c>
      <c r="L237">
        <v>184613</v>
      </c>
      <c r="M237" t="str">
        <f>"VANDA DYNAMIC ENTERP"</f>
        <v>VANDA DYNAMIC ENTERP</v>
      </c>
      <c r="O237">
        <v>1</v>
      </c>
      <c r="P237" t="str">
        <f>"PGTEFT2344"</f>
        <v>PGTEFT2344</v>
      </c>
      <c r="Q237" t="str">
        <f>"PG-202-17"</f>
        <v>PG-202-17</v>
      </c>
    </row>
    <row r="238" spans="1:18" x14ac:dyDescent="0.25">
      <c r="A238">
        <v>8003879954</v>
      </c>
      <c r="B238">
        <v>67</v>
      </c>
      <c r="C238">
        <v>1062017</v>
      </c>
      <c r="D238">
        <v>299</v>
      </c>
      <c r="E238" t="str">
        <f>"GST"</f>
        <v>GST</v>
      </c>
      <c r="F238">
        <v>9938</v>
      </c>
      <c r="G238" t="str">
        <f>"17221799"</f>
        <v>17221799</v>
      </c>
      <c r="H238" s="1">
        <v>0.01</v>
      </c>
      <c r="I238" t="s">
        <v>28</v>
      </c>
      <c r="J238" s="1">
        <v>1477814.35</v>
      </c>
      <c r="K238" t="s">
        <v>26</v>
      </c>
      <c r="L238">
        <v>184613</v>
      </c>
      <c r="M238" t="str">
        <f>"PGTEFT2344          PG-202-17"</f>
        <v>PGTEFT2344          PG-202-17</v>
      </c>
      <c r="O238">
        <v>1</v>
      </c>
    </row>
    <row r="239" spans="1:18" x14ac:dyDescent="0.25">
      <c r="A239">
        <v>8003879954</v>
      </c>
      <c r="B239">
        <v>66</v>
      </c>
      <c r="C239">
        <v>1062017</v>
      </c>
      <c r="D239">
        <v>489</v>
      </c>
      <c r="E239" t="str">
        <f>"OTHER TRANSFER FEE"</f>
        <v>OTHER TRANSFER FEE</v>
      </c>
      <c r="F239">
        <v>9938</v>
      </c>
      <c r="G239" t="str">
        <f>"17221799"</f>
        <v>17221799</v>
      </c>
      <c r="H239" s="1">
        <v>0.1</v>
      </c>
      <c r="I239" t="s">
        <v>28</v>
      </c>
      <c r="J239" s="1">
        <v>1477814.36</v>
      </c>
      <c r="K239" t="s">
        <v>26</v>
      </c>
      <c r="L239">
        <v>184613</v>
      </c>
      <c r="M239" t="str">
        <f>"PGTEFT2344          PG-202-17"</f>
        <v>PGTEFT2344          PG-202-17</v>
      </c>
      <c r="O239">
        <v>1</v>
      </c>
    </row>
    <row r="240" spans="1:18" x14ac:dyDescent="0.25">
      <c r="A240">
        <v>8003879954</v>
      </c>
      <c r="B240">
        <v>65</v>
      </c>
      <c r="C240">
        <v>1062017</v>
      </c>
      <c r="D240">
        <v>60</v>
      </c>
      <c r="E240" t="str">
        <f>"TR TO C/A"</f>
        <v>TR TO C/A</v>
      </c>
      <c r="F240">
        <v>9938</v>
      </c>
      <c r="G240" t="str">
        <f>"17219111"</f>
        <v>17219111</v>
      </c>
      <c r="H240" s="1">
        <v>572.4</v>
      </c>
      <c r="I240" t="s">
        <v>28</v>
      </c>
      <c r="J240" s="1">
        <v>1477814.46</v>
      </c>
      <c r="K240" t="s">
        <v>26</v>
      </c>
      <c r="L240">
        <v>184612</v>
      </c>
      <c r="M240" t="str">
        <f>"RO WATER 60 DRUMS OMEGA SPARKLES SDN"</f>
        <v>RO WATER 60 DRUMS OMEGA SPARKLES SDN</v>
      </c>
      <c r="O240">
        <v>1</v>
      </c>
      <c r="P240" t="str">
        <f>"PGTEFT2348"</f>
        <v>PGTEFT2348</v>
      </c>
      <c r="Q240" t="str">
        <f>"I-43226"</f>
        <v>I-43226</v>
      </c>
    </row>
    <row r="241" spans="1:17" x14ac:dyDescent="0.25">
      <c r="A241">
        <v>8003879954</v>
      </c>
      <c r="B241">
        <v>64</v>
      </c>
      <c r="C241">
        <v>1062017</v>
      </c>
      <c r="D241">
        <v>341</v>
      </c>
      <c r="E241" t="str">
        <f>"TR IBG"</f>
        <v>TR IBG</v>
      </c>
      <c r="F241">
        <v>9938</v>
      </c>
      <c r="G241" t="str">
        <f>"17235469"</f>
        <v>17235469</v>
      </c>
      <c r="H241" s="1">
        <v>7540.84</v>
      </c>
      <c r="I241" t="s">
        <v>28</v>
      </c>
      <c r="J241" s="1">
        <v>1478386.86</v>
      </c>
      <c r="K241" t="s">
        <v>26</v>
      </c>
      <c r="L241">
        <v>184612</v>
      </c>
      <c r="M241" t="str">
        <f>"TWO PRO PRINT SERVIC"</f>
        <v>TWO PRO PRINT SERVIC</v>
      </c>
      <c r="O241">
        <v>1</v>
      </c>
      <c r="P241" t="str">
        <f>"PGTEFT2342"</f>
        <v>PGTEFT2342</v>
      </c>
      <c r="Q241" t="str">
        <f>"1402 1431 1399 1429"</f>
        <v>1402 1431 1399 1429</v>
      </c>
    </row>
    <row r="242" spans="1:17" x14ac:dyDescent="0.25">
      <c r="A242">
        <v>8003879954</v>
      </c>
      <c r="B242">
        <v>63</v>
      </c>
      <c r="C242">
        <v>1062017</v>
      </c>
      <c r="D242">
        <v>299</v>
      </c>
      <c r="E242" t="str">
        <f>"GST"</f>
        <v>GST</v>
      </c>
      <c r="F242">
        <v>9938</v>
      </c>
      <c r="G242" t="str">
        <f>"17235469"</f>
        <v>17235469</v>
      </c>
      <c r="H242" s="1">
        <v>0.01</v>
      </c>
      <c r="I242" t="s">
        <v>28</v>
      </c>
      <c r="J242" s="1">
        <v>1485927.7</v>
      </c>
      <c r="K242" t="s">
        <v>26</v>
      </c>
      <c r="L242">
        <v>184612</v>
      </c>
      <c r="M242" t="str">
        <f>"PGTEFT2342          1402 1431 1399 1429"</f>
        <v>PGTEFT2342          1402 1431 1399 1429</v>
      </c>
      <c r="O242">
        <v>1</v>
      </c>
    </row>
    <row r="243" spans="1:17" x14ac:dyDescent="0.25">
      <c r="A243">
        <v>8003879954</v>
      </c>
      <c r="B243">
        <v>62</v>
      </c>
      <c r="C243">
        <v>1062017</v>
      </c>
      <c r="D243">
        <v>489</v>
      </c>
      <c r="E243" t="str">
        <f>"OTHER TRANSFER FEE"</f>
        <v>OTHER TRANSFER FEE</v>
      </c>
      <c r="F243">
        <v>9938</v>
      </c>
      <c r="G243" t="str">
        <f>"17235469"</f>
        <v>17235469</v>
      </c>
      <c r="H243" s="1">
        <v>0.1</v>
      </c>
      <c r="I243" t="s">
        <v>28</v>
      </c>
      <c r="J243" s="1">
        <v>1485927.71</v>
      </c>
      <c r="K243" t="s">
        <v>26</v>
      </c>
      <c r="L243">
        <v>184612</v>
      </c>
      <c r="M243" t="str">
        <f>"PGTEFT2342          1402 1431 1399 1429"</f>
        <v>PGTEFT2342          1402 1431 1399 1429</v>
      </c>
      <c r="O243">
        <v>1</v>
      </c>
    </row>
    <row r="244" spans="1:17" x14ac:dyDescent="0.25">
      <c r="A244">
        <v>8003879954</v>
      </c>
      <c r="B244">
        <v>61</v>
      </c>
      <c r="C244">
        <v>1062017</v>
      </c>
      <c r="D244">
        <v>341</v>
      </c>
      <c r="E244" t="str">
        <f>"TR IBG"</f>
        <v>TR IBG</v>
      </c>
      <c r="F244">
        <v>9938</v>
      </c>
      <c r="G244" t="str">
        <f>"17236046"</f>
        <v>17236046</v>
      </c>
      <c r="H244" s="1">
        <v>1000</v>
      </c>
      <c r="I244" t="s">
        <v>28</v>
      </c>
      <c r="J244" s="1">
        <v>1485927.81</v>
      </c>
      <c r="K244" t="s">
        <v>26</v>
      </c>
      <c r="L244">
        <v>184606</v>
      </c>
      <c r="M244" t="str">
        <f>"ROSHVINDER SINGH A/L"</f>
        <v>ROSHVINDER SINGH A/L</v>
      </c>
      <c r="O244">
        <v>1</v>
      </c>
      <c r="P244" t="str">
        <f>"PGTEFT2338"</f>
        <v>PGTEFT2338</v>
      </c>
      <c r="Q244" t="str">
        <f>"WELCOMING RECEPTION"</f>
        <v>WELCOMING RECEPTION</v>
      </c>
    </row>
    <row r="245" spans="1:17" x14ac:dyDescent="0.25">
      <c r="A245">
        <v>8003879954</v>
      </c>
      <c r="B245">
        <v>60</v>
      </c>
      <c r="C245">
        <v>1062017</v>
      </c>
      <c r="D245">
        <v>299</v>
      </c>
      <c r="E245" t="str">
        <f>"GST"</f>
        <v>GST</v>
      </c>
      <c r="F245">
        <v>9938</v>
      </c>
      <c r="G245" t="str">
        <f>"17236046"</f>
        <v>17236046</v>
      </c>
      <c r="H245" s="1">
        <v>0.01</v>
      </c>
      <c r="I245" t="s">
        <v>28</v>
      </c>
      <c r="J245" s="1">
        <v>1486927.81</v>
      </c>
      <c r="K245" t="s">
        <v>26</v>
      </c>
      <c r="L245">
        <v>184606</v>
      </c>
      <c r="M245" t="str">
        <f>"PGTEFT2338          WELCOMING RECEPTION"</f>
        <v>PGTEFT2338          WELCOMING RECEPTION</v>
      </c>
      <c r="O245">
        <v>1</v>
      </c>
    </row>
    <row r="246" spans="1:17" x14ac:dyDescent="0.25">
      <c r="A246">
        <v>8003879954</v>
      </c>
      <c r="B246">
        <v>59</v>
      </c>
      <c r="C246">
        <v>1062017</v>
      </c>
      <c r="D246">
        <v>489</v>
      </c>
      <c r="E246" t="str">
        <f>"OTHER TRANSFER FEE"</f>
        <v>OTHER TRANSFER FEE</v>
      </c>
      <c r="F246">
        <v>9938</v>
      </c>
      <c r="G246" t="str">
        <f>"17236046"</f>
        <v>17236046</v>
      </c>
      <c r="H246" s="1">
        <v>0.1</v>
      </c>
      <c r="I246" t="s">
        <v>28</v>
      </c>
      <c r="J246" s="1">
        <v>1486927.82</v>
      </c>
      <c r="K246" t="s">
        <v>26</v>
      </c>
      <c r="L246">
        <v>184606</v>
      </c>
      <c r="M246" t="str">
        <f>"PGTEFT2338          WELCOMING RECEPTION"</f>
        <v>PGTEFT2338          WELCOMING RECEPTION</v>
      </c>
      <c r="O246">
        <v>1</v>
      </c>
    </row>
    <row r="247" spans="1:17" x14ac:dyDescent="0.25">
      <c r="A247">
        <v>8003879954</v>
      </c>
      <c r="B247">
        <v>58</v>
      </c>
      <c r="C247">
        <v>1062017</v>
      </c>
      <c r="D247">
        <v>341</v>
      </c>
      <c r="E247" t="str">
        <f>"TR IBG"</f>
        <v>TR IBG</v>
      </c>
      <c r="F247">
        <v>9938</v>
      </c>
      <c r="G247" t="str">
        <f>"17221557"</f>
        <v>17221557</v>
      </c>
      <c r="H247" s="1">
        <v>2500</v>
      </c>
      <c r="I247" t="s">
        <v>28</v>
      </c>
      <c r="J247" s="1">
        <v>1486927.92</v>
      </c>
      <c r="K247" t="s">
        <v>26</v>
      </c>
      <c r="L247">
        <v>184606</v>
      </c>
      <c r="M247" t="str">
        <f>"TAN YIT MING"</f>
        <v>TAN YIT MING</v>
      </c>
      <c r="O247">
        <v>1</v>
      </c>
      <c r="P247" t="str">
        <f>"PGTEFT2345"</f>
        <v>PGTEFT2345</v>
      </c>
      <c r="Q247" t="str">
        <f>"INV170306"</f>
        <v>INV170306</v>
      </c>
    </row>
    <row r="248" spans="1:17" x14ac:dyDescent="0.25">
      <c r="A248">
        <v>8003879954</v>
      </c>
      <c r="B248">
        <v>57</v>
      </c>
      <c r="C248">
        <v>1062017</v>
      </c>
      <c r="D248">
        <v>299</v>
      </c>
      <c r="E248" t="str">
        <f>"GST"</f>
        <v>GST</v>
      </c>
      <c r="F248">
        <v>9938</v>
      </c>
      <c r="G248" t="str">
        <f>"17221557"</f>
        <v>17221557</v>
      </c>
      <c r="H248" s="1">
        <v>0.01</v>
      </c>
      <c r="I248" t="s">
        <v>28</v>
      </c>
      <c r="J248" s="1">
        <v>1489427.92</v>
      </c>
      <c r="K248" t="s">
        <v>26</v>
      </c>
      <c r="L248">
        <v>184606</v>
      </c>
      <c r="M248" t="str">
        <f>"PGTEFT2345          INV170306"</f>
        <v>PGTEFT2345          INV170306</v>
      </c>
      <c r="O248">
        <v>1</v>
      </c>
    </row>
    <row r="249" spans="1:17" x14ac:dyDescent="0.25">
      <c r="A249">
        <v>8003879954</v>
      </c>
      <c r="B249">
        <v>56</v>
      </c>
      <c r="C249">
        <v>1062017</v>
      </c>
      <c r="D249">
        <v>489</v>
      </c>
      <c r="E249" t="str">
        <f>"OTHER TRANSFER FEE"</f>
        <v>OTHER TRANSFER FEE</v>
      </c>
      <c r="F249">
        <v>9938</v>
      </c>
      <c r="G249" t="str">
        <f>"17221557"</f>
        <v>17221557</v>
      </c>
      <c r="H249" s="1">
        <v>0.1</v>
      </c>
      <c r="I249" t="s">
        <v>28</v>
      </c>
      <c r="J249" s="1">
        <v>1489427.93</v>
      </c>
      <c r="K249" t="s">
        <v>26</v>
      </c>
      <c r="L249">
        <v>184606</v>
      </c>
      <c r="M249" t="str">
        <f>"PGTEFT2345          INV170306"</f>
        <v>PGTEFT2345          INV170306</v>
      </c>
      <c r="O249">
        <v>1</v>
      </c>
    </row>
    <row r="250" spans="1:17" x14ac:dyDescent="0.25">
      <c r="A250">
        <v>8003879954</v>
      </c>
      <c r="B250">
        <v>55</v>
      </c>
      <c r="C250">
        <v>1062017</v>
      </c>
      <c r="D250">
        <v>341</v>
      </c>
      <c r="E250" t="str">
        <f>"TR IBG"</f>
        <v>TR IBG</v>
      </c>
      <c r="F250">
        <v>9938</v>
      </c>
      <c r="G250" t="str">
        <f>"17221985"</f>
        <v>17221985</v>
      </c>
      <c r="H250" s="1">
        <v>593.6</v>
      </c>
      <c r="I250" t="s">
        <v>28</v>
      </c>
      <c r="J250" s="1">
        <v>1489428.03</v>
      </c>
      <c r="K250" t="s">
        <v>26</v>
      </c>
      <c r="L250">
        <v>184606</v>
      </c>
      <c r="M250" t="str">
        <f>"VCREATE SDN BHD"</f>
        <v>VCREATE SDN BHD</v>
      </c>
      <c r="O250">
        <v>1</v>
      </c>
      <c r="P250" t="str">
        <f>"PGTEFT2343"</f>
        <v>PGTEFT2343</v>
      </c>
      <c r="Q250" t="str">
        <f>"10468-17"</f>
        <v>10468-17</v>
      </c>
    </row>
    <row r="251" spans="1:17" x14ac:dyDescent="0.25">
      <c r="A251">
        <v>8003879954</v>
      </c>
      <c r="B251">
        <v>54</v>
      </c>
      <c r="C251">
        <v>1062017</v>
      </c>
      <c r="D251">
        <v>299</v>
      </c>
      <c r="E251" t="str">
        <f>"GST"</f>
        <v>GST</v>
      </c>
      <c r="F251">
        <v>9938</v>
      </c>
      <c r="G251" t="str">
        <f>"17221985"</f>
        <v>17221985</v>
      </c>
      <c r="H251" s="1">
        <v>0.01</v>
      </c>
      <c r="I251" t="s">
        <v>28</v>
      </c>
      <c r="J251" s="1">
        <v>1490021.63</v>
      </c>
      <c r="K251" t="s">
        <v>26</v>
      </c>
      <c r="L251">
        <v>184606</v>
      </c>
      <c r="M251" t="str">
        <f>"PGTEFT2343          10468-17"</f>
        <v>PGTEFT2343          10468-17</v>
      </c>
      <c r="O251">
        <v>1</v>
      </c>
    </row>
    <row r="252" spans="1:17" x14ac:dyDescent="0.25">
      <c r="A252">
        <v>8003879954</v>
      </c>
      <c r="B252">
        <v>53</v>
      </c>
      <c r="C252">
        <v>1062017</v>
      </c>
      <c r="D252">
        <v>489</v>
      </c>
      <c r="E252" t="str">
        <f>"OTHER TRANSFER FEE"</f>
        <v>OTHER TRANSFER FEE</v>
      </c>
      <c r="F252">
        <v>9938</v>
      </c>
      <c r="G252" t="str">
        <f>"17221985"</f>
        <v>17221985</v>
      </c>
      <c r="H252" s="1">
        <v>0.1</v>
      </c>
      <c r="I252" t="s">
        <v>28</v>
      </c>
      <c r="J252" s="1">
        <v>1490021.64</v>
      </c>
      <c r="K252" t="s">
        <v>26</v>
      </c>
      <c r="L252">
        <v>184606</v>
      </c>
      <c r="M252" t="str">
        <f>"PGTEFT2343          10468-17"</f>
        <v>PGTEFT2343          10468-17</v>
      </c>
      <c r="O252">
        <v>1</v>
      </c>
    </row>
    <row r="253" spans="1:17" x14ac:dyDescent="0.25">
      <c r="A253">
        <v>8003879954</v>
      </c>
      <c r="B253">
        <v>52</v>
      </c>
      <c r="C253">
        <v>1062017</v>
      </c>
      <c r="D253">
        <v>341</v>
      </c>
      <c r="E253" t="str">
        <f>"TR IBG"</f>
        <v>TR IBG</v>
      </c>
      <c r="F253">
        <v>9938</v>
      </c>
      <c r="G253" t="str">
        <f>"17219219"</f>
        <v>17219219</v>
      </c>
      <c r="H253" s="1">
        <v>360</v>
      </c>
      <c r="I253" t="s">
        <v>28</v>
      </c>
      <c r="J253" s="1">
        <v>1490021.74</v>
      </c>
      <c r="K253" t="s">
        <v>26</v>
      </c>
      <c r="L253">
        <v>184606</v>
      </c>
      <c r="M253" t="str">
        <f>"LIANG CHOW MING"</f>
        <v>LIANG CHOW MING</v>
      </c>
      <c r="O253">
        <v>1</v>
      </c>
      <c r="P253" t="str">
        <f>"PGTEFT2347"</f>
        <v>PGTEFT2347</v>
      </c>
      <c r="Q253" t="str">
        <f>"INV19516 19517"</f>
        <v>INV19516 19517</v>
      </c>
    </row>
    <row r="254" spans="1:17" x14ac:dyDescent="0.25">
      <c r="A254">
        <v>8003879954</v>
      </c>
      <c r="B254">
        <v>51</v>
      </c>
      <c r="C254">
        <v>1062017</v>
      </c>
      <c r="D254">
        <v>299</v>
      </c>
      <c r="E254" t="str">
        <f>"GST"</f>
        <v>GST</v>
      </c>
      <c r="F254">
        <v>9938</v>
      </c>
      <c r="G254" t="str">
        <f>"17219219"</f>
        <v>17219219</v>
      </c>
      <c r="H254" s="1">
        <v>0.01</v>
      </c>
      <c r="I254" t="s">
        <v>28</v>
      </c>
      <c r="J254" s="1">
        <v>1490381.74</v>
      </c>
      <c r="K254" t="s">
        <v>26</v>
      </c>
      <c r="L254">
        <v>184606</v>
      </c>
      <c r="M254" t="str">
        <f>"PGTEFT2347          INV19516 19517"</f>
        <v>PGTEFT2347          INV19516 19517</v>
      </c>
      <c r="O254">
        <v>1</v>
      </c>
    </row>
    <row r="255" spans="1:17" x14ac:dyDescent="0.25">
      <c r="A255">
        <v>8003879954</v>
      </c>
      <c r="B255">
        <v>50</v>
      </c>
      <c r="C255">
        <v>1062017</v>
      </c>
      <c r="D255">
        <v>489</v>
      </c>
      <c r="E255" t="str">
        <f>"OTHER TRANSFER FEE"</f>
        <v>OTHER TRANSFER FEE</v>
      </c>
      <c r="F255">
        <v>9938</v>
      </c>
      <c r="G255" t="str">
        <f>"17219219"</f>
        <v>17219219</v>
      </c>
      <c r="H255" s="1">
        <v>0.1</v>
      </c>
      <c r="I255" t="s">
        <v>28</v>
      </c>
      <c r="J255" s="1">
        <v>1490381.75</v>
      </c>
      <c r="K255" t="s">
        <v>26</v>
      </c>
      <c r="L255">
        <v>184606</v>
      </c>
      <c r="M255" t="str">
        <f>"PGTEFT2347          INV19516 19517"</f>
        <v>PGTEFT2347          INV19516 19517</v>
      </c>
      <c r="O255">
        <v>1</v>
      </c>
    </row>
    <row r="256" spans="1:17" x14ac:dyDescent="0.25">
      <c r="A256">
        <v>8003879954</v>
      </c>
      <c r="B256">
        <v>49</v>
      </c>
      <c r="C256">
        <v>1062017</v>
      </c>
      <c r="D256">
        <v>60</v>
      </c>
      <c r="E256" t="str">
        <f>"TR TO C/A"</f>
        <v>TR TO C/A</v>
      </c>
      <c r="F256">
        <v>9938</v>
      </c>
      <c r="G256" t="str">
        <f>"17235566"</f>
        <v>17235566</v>
      </c>
      <c r="H256" s="1">
        <v>270</v>
      </c>
      <c r="I256" t="s">
        <v>28</v>
      </c>
      <c r="J256" s="1">
        <v>1490381.85</v>
      </c>
      <c r="K256" t="s">
        <v>26</v>
      </c>
      <c r="L256">
        <v>184605</v>
      </c>
      <c r="M256" t="str">
        <f>"GUIDE FEE FOR MAY TOH KIM HOCK"</f>
        <v>GUIDE FEE FOR MAY TOH KIM HOCK</v>
      </c>
      <c r="O256">
        <v>1</v>
      </c>
      <c r="P256" t="str">
        <f>"PGTEFT2340"</f>
        <v>PGTEFT2340</v>
      </c>
      <c r="Q256" t="str">
        <f>"INV103T"</f>
        <v>INV103T</v>
      </c>
    </row>
    <row r="257" spans="1:18" x14ac:dyDescent="0.25">
      <c r="A257">
        <v>8003879954</v>
      </c>
      <c r="B257">
        <v>48</v>
      </c>
      <c r="C257">
        <v>1062017</v>
      </c>
      <c r="D257">
        <v>341</v>
      </c>
      <c r="E257" t="str">
        <f>"TR IBG"</f>
        <v>TR IBG</v>
      </c>
      <c r="F257">
        <v>9938</v>
      </c>
      <c r="G257" t="str">
        <f>"17238707"</f>
        <v>17238707</v>
      </c>
      <c r="H257" s="1">
        <v>2338.5500000000002</v>
      </c>
      <c r="I257" t="s">
        <v>28</v>
      </c>
      <c r="J257" s="1">
        <v>1490651.85</v>
      </c>
      <c r="K257" t="s">
        <v>26</v>
      </c>
      <c r="L257">
        <v>183440</v>
      </c>
      <c r="M257" t="str">
        <f>"FUJI XEROX ASIA PACI"</f>
        <v>FUJI XEROX ASIA PACI</v>
      </c>
      <c r="O257">
        <v>1</v>
      </c>
      <c r="P257" t="str">
        <f>"PGTEFT2327"</f>
        <v>PGTEFT2327</v>
      </c>
      <c r="Q257" t="str">
        <f>"INV102490819"</f>
        <v>INV102490819</v>
      </c>
      <c r="R257" t="s">
        <v>187</v>
      </c>
    </row>
    <row r="258" spans="1:18" x14ac:dyDescent="0.25">
      <c r="A258">
        <v>8003879954</v>
      </c>
      <c r="B258">
        <v>47</v>
      </c>
      <c r="C258">
        <v>1062017</v>
      </c>
      <c r="D258">
        <v>299</v>
      </c>
      <c r="E258" t="str">
        <f>"GST"</f>
        <v>GST</v>
      </c>
      <c r="F258">
        <v>9938</v>
      </c>
      <c r="G258" t="str">
        <f>"17238707"</f>
        <v>17238707</v>
      </c>
      <c r="H258" s="1">
        <v>0.01</v>
      </c>
      <c r="I258" t="s">
        <v>28</v>
      </c>
      <c r="J258" s="1">
        <v>1492990.4</v>
      </c>
      <c r="K258" t="s">
        <v>26</v>
      </c>
      <c r="L258">
        <v>183440</v>
      </c>
      <c r="M258" t="str">
        <f>"PGTEFT2327          INV102490819"</f>
        <v>PGTEFT2327          INV102490819</v>
      </c>
      <c r="O258">
        <v>1</v>
      </c>
    </row>
    <row r="259" spans="1:18" x14ac:dyDescent="0.25">
      <c r="A259">
        <v>8003879954</v>
      </c>
      <c r="B259">
        <v>46</v>
      </c>
      <c r="C259">
        <v>1062017</v>
      </c>
      <c r="D259">
        <v>489</v>
      </c>
      <c r="E259" t="str">
        <f>"OTHER TRANSFER FEE"</f>
        <v>OTHER TRANSFER FEE</v>
      </c>
      <c r="F259">
        <v>9938</v>
      </c>
      <c r="G259" t="str">
        <f>"17238707"</f>
        <v>17238707</v>
      </c>
      <c r="H259" s="1">
        <v>0.1</v>
      </c>
      <c r="I259" t="s">
        <v>28</v>
      </c>
      <c r="J259" s="1">
        <v>1492990.41</v>
      </c>
      <c r="K259" t="s">
        <v>26</v>
      </c>
      <c r="L259">
        <v>183440</v>
      </c>
      <c r="M259" t="str">
        <f>"PGTEFT2327          INV102490819"</f>
        <v>PGTEFT2327          INV102490819</v>
      </c>
      <c r="O259">
        <v>1</v>
      </c>
    </row>
    <row r="260" spans="1:18" x14ac:dyDescent="0.25">
      <c r="A260">
        <v>8003879954</v>
      </c>
      <c r="B260">
        <v>45</v>
      </c>
      <c r="C260">
        <v>1062017</v>
      </c>
      <c r="D260">
        <v>341</v>
      </c>
      <c r="E260" t="str">
        <f>"TR IBG"</f>
        <v>TR IBG</v>
      </c>
      <c r="F260">
        <v>9938</v>
      </c>
      <c r="G260" t="str">
        <f>"17238339"</f>
        <v>17238339</v>
      </c>
      <c r="H260" s="1">
        <v>3600</v>
      </c>
      <c r="I260" t="s">
        <v>28</v>
      </c>
      <c r="J260" s="1">
        <v>1492990.51</v>
      </c>
      <c r="K260" t="s">
        <v>26</v>
      </c>
      <c r="L260">
        <v>183439</v>
      </c>
      <c r="M260" t="str">
        <f>"LOUISE GOSS-CUSTARD"</f>
        <v>LOUISE GOSS-CUSTARD</v>
      </c>
      <c r="O260">
        <v>1</v>
      </c>
      <c r="P260" t="str">
        <f>"PGTEFT2331"</f>
        <v>PGTEFT2331</v>
      </c>
      <c r="Q260" t="str">
        <f>"PGT001-002"</f>
        <v>PGT001-002</v>
      </c>
    </row>
    <row r="261" spans="1:18" x14ac:dyDescent="0.25">
      <c r="A261">
        <v>8003879954</v>
      </c>
      <c r="B261">
        <v>44</v>
      </c>
      <c r="C261">
        <v>1062017</v>
      </c>
      <c r="D261">
        <v>299</v>
      </c>
      <c r="E261" t="str">
        <f>"GST"</f>
        <v>GST</v>
      </c>
      <c r="F261">
        <v>9938</v>
      </c>
      <c r="G261" t="str">
        <f>"17238339"</f>
        <v>17238339</v>
      </c>
      <c r="H261" s="1">
        <v>0.01</v>
      </c>
      <c r="I261" t="s">
        <v>28</v>
      </c>
      <c r="J261" s="1">
        <v>1496590.51</v>
      </c>
      <c r="K261" t="s">
        <v>26</v>
      </c>
      <c r="L261">
        <v>183439</v>
      </c>
      <c r="M261" t="str">
        <f>"PGTEFT2331          PGT001-002"</f>
        <v>PGTEFT2331          PGT001-002</v>
      </c>
      <c r="O261">
        <v>1</v>
      </c>
    </row>
    <row r="262" spans="1:18" x14ac:dyDescent="0.25">
      <c r="A262">
        <v>8003879954</v>
      </c>
      <c r="B262">
        <v>43</v>
      </c>
      <c r="C262">
        <v>1062017</v>
      </c>
      <c r="D262">
        <v>489</v>
      </c>
      <c r="E262" t="str">
        <f>"OTHER TRANSFER FEE"</f>
        <v>OTHER TRANSFER FEE</v>
      </c>
      <c r="F262">
        <v>9938</v>
      </c>
      <c r="G262" t="str">
        <f>"17238339"</f>
        <v>17238339</v>
      </c>
      <c r="H262" s="1">
        <v>0.1</v>
      </c>
      <c r="I262" t="s">
        <v>28</v>
      </c>
      <c r="J262" s="1">
        <v>1496590.52</v>
      </c>
      <c r="K262" t="s">
        <v>26</v>
      </c>
      <c r="L262">
        <v>183439</v>
      </c>
      <c r="M262" t="str">
        <f>"PGTEFT2331          PGT001-002"</f>
        <v>PGTEFT2331          PGT001-002</v>
      </c>
      <c r="O262">
        <v>1</v>
      </c>
    </row>
    <row r="263" spans="1:18" x14ac:dyDescent="0.25">
      <c r="A263">
        <v>8003879954</v>
      </c>
      <c r="B263">
        <v>42</v>
      </c>
      <c r="C263">
        <v>1062017</v>
      </c>
      <c r="D263">
        <v>345</v>
      </c>
      <c r="E263" t="str">
        <f>"TR TO SAVINGS"</f>
        <v>TR TO SAVINGS</v>
      </c>
      <c r="F263">
        <v>9938</v>
      </c>
      <c r="G263" t="str">
        <f>"17237787"</f>
        <v>17237787</v>
      </c>
      <c r="H263" s="1">
        <v>2701.15</v>
      </c>
      <c r="I263" t="s">
        <v>28</v>
      </c>
      <c r="J263" s="1">
        <v>1496590.62</v>
      </c>
      <c r="K263" t="s">
        <v>26</v>
      </c>
      <c r="L263">
        <v>183439</v>
      </c>
      <c r="M263" t="str">
        <f>"CISCIF NEOH SUAT HOON"</f>
        <v>CISCIF NEOH SUAT HOON</v>
      </c>
      <c r="O263">
        <v>1</v>
      </c>
      <c r="P263" t="str">
        <f>"PGTEFT2333"</f>
        <v>PGTEFT2333</v>
      </c>
      <c r="Q263" t="str">
        <f>"CLAIMS"</f>
        <v>CLAIMS</v>
      </c>
    </row>
    <row r="264" spans="1:18" x14ac:dyDescent="0.25">
      <c r="A264">
        <v>8003879954</v>
      </c>
      <c r="B264">
        <v>41</v>
      </c>
      <c r="C264">
        <v>1062017</v>
      </c>
      <c r="D264">
        <v>341</v>
      </c>
      <c r="E264" t="str">
        <f>"TR IBG"</f>
        <v>TR IBG</v>
      </c>
      <c r="F264">
        <v>9938</v>
      </c>
      <c r="G264" t="str">
        <f>"17236691"</f>
        <v>17236691</v>
      </c>
      <c r="H264" s="1">
        <v>636</v>
      </c>
      <c r="I264" t="s">
        <v>28</v>
      </c>
      <c r="J264" s="1">
        <v>1499291.77</v>
      </c>
      <c r="K264" t="s">
        <v>26</v>
      </c>
      <c r="L264">
        <v>183439</v>
      </c>
      <c r="M264" t="str">
        <f>"ROD CREATIVE SDN BHD"</f>
        <v>ROD CREATIVE SDN BHD</v>
      </c>
      <c r="O264">
        <v>1</v>
      </c>
      <c r="P264" t="str">
        <f>"PGTEFT2337"</f>
        <v>PGTEFT2337</v>
      </c>
      <c r="Q264" t="str">
        <f>"151375 151395"</f>
        <v>151375 151395</v>
      </c>
      <c r="R264" t="str">
        <f>"IBG REFUND"</f>
        <v>IBG REFUND</v>
      </c>
    </row>
    <row r="265" spans="1:18" x14ac:dyDescent="0.25">
      <c r="A265">
        <v>8003879954</v>
      </c>
      <c r="B265">
        <v>40</v>
      </c>
      <c r="C265">
        <v>1062017</v>
      </c>
      <c r="D265">
        <v>299</v>
      </c>
      <c r="E265" t="str">
        <f>"GST"</f>
        <v>GST</v>
      </c>
      <c r="F265">
        <v>9938</v>
      </c>
      <c r="G265" t="str">
        <f>"17236691"</f>
        <v>17236691</v>
      </c>
      <c r="H265" s="1">
        <v>0.01</v>
      </c>
      <c r="I265" t="s">
        <v>28</v>
      </c>
      <c r="J265" s="1">
        <v>1499927.77</v>
      </c>
      <c r="K265" t="s">
        <v>26</v>
      </c>
      <c r="L265">
        <v>183439</v>
      </c>
      <c r="M265" t="str">
        <f>"PGTEFT2337          151375 151395"</f>
        <v>PGTEFT2337          151375 151395</v>
      </c>
      <c r="O265">
        <v>1</v>
      </c>
    </row>
    <row r="266" spans="1:18" x14ac:dyDescent="0.25">
      <c r="A266">
        <v>8003879954</v>
      </c>
      <c r="B266">
        <v>39</v>
      </c>
      <c r="C266">
        <v>1062017</v>
      </c>
      <c r="D266">
        <v>489</v>
      </c>
      <c r="E266" t="str">
        <f>"OTHER TRANSFER FEE"</f>
        <v>OTHER TRANSFER FEE</v>
      </c>
      <c r="F266">
        <v>9938</v>
      </c>
      <c r="G266" t="str">
        <f>"17236691"</f>
        <v>17236691</v>
      </c>
      <c r="H266" s="1">
        <v>0.1</v>
      </c>
      <c r="I266" t="s">
        <v>28</v>
      </c>
      <c r="J266" s="1">
        <v>1499927.78</v>
      </c>
      <c r="K266" t="s">
        <v>26</v>
      </c>
      <c r="L266">
        <v>183439</v>
      </c>
      <c r="M266" t="str">
        <f>"PGTEFT2337          151375 151395"</f>
        <v>PGTEFT2337          151375 151395</v>
      </c>
      <c r="O266">
        <v>1</v>
      </c>
    </row>
    <row r="267" spans="1:18" x14ac:dyDescent="0.25">
      <c r="A267">
        <v>8003879954</v>
      </c>
      <c r="B267">
        <v>38</v>
      </c>
      <c r="C267">
        <v>1062017</v>
      </c>
      <c r="D267">
        <v>345</v>
      </c>
      <c r="E267" t="str">
        <f>"TR TO SAVINGS"</f>
        <v>TR TO SAVINGS</v>
      </c>
      <c r="F267">
        <v>9938</v>
      </c>
      <c r="G267" t="str">
        <f>"17237015"</f>
        <v>17237015</v>
      </c>
      <c r="H267" s="1">
        <v>645.21</v>
      </c>
      <c r="I267" t="s">
        <v>28</v>
      </c>
      <c r="J267" s="1">
        <v>1499927.88</v>
      </c>
      <c r="K267" t="s">
        <v>26</v>
      </c>
      <c r="L267">
        <v>183439</v>
      </c>
      <c r="M267" t="str">
        <f>"OOI CHOK YAN"</f>
        <v>OOI CHOK YAN</v>
      </c>
      <c r="O267">
        <v>1</v>
      </c>
      <c r="P267" t="str">
        <f>"PGTEFT2335"</f>
        <v>PGTEFT2335</v>
      </c>
      <c r="Q267" t="str">
        <f>"CLAIMS PTE SEREMBAN"</f>
        <v>CLAIMS PTE SEREMBAN</v>
      </c>
    </row>
    <row r="268" spans="1:18" x14ac:dyDescent="0.25">
      <c r="A268">
        <v>8003879954</v>
      </c>
      <c r="B268">
        <v>37</v>
      </c>
      <c r="C268">
        <v>1062017</v>
      </c>
      <c r="D268">
        <v>341</v>
      </c>
      <c r="E268" t="str">
        <f>"TR IBG"</f>
        <v>TR IBG</v>
      </c>
      <c r="F268">
        <v>9938</v>
      </c>
      <c r="G268" t="str">
        <f>"17240178"</f>
        <v>17240178</v>
      </c>
      <c r="H268" s="1">
        <v>4541.57</v>
      </c>
      <c r="I268" t="s">
        <v>28</v>
      </c>
      <c r="J268" s="1">
        <v>1500573.09</v>
      </c>
      <c r="K268" t="s">
        <v>26</v>
      </c>
      <c r="L268">
        <v>183438</v>
      </c>
      <c r="M268" t="str">
        <f>"FTZ TRAVEL &amp; TOURS S"</f>
        <v>FTZ TRAVEL &amp; TOURS S</v>
      </c>
      <c r="O268">
        <v>1</v>
      </c>
      <c r="P268" t="str">
        <f>"PGTEFT2336"</f>
        <v>PGTEFT2336</v>
      </c>
      <c r="Q268" t="str">
        <f>"P14647 14646"</f>
        <v>P14647 14646</v>
      </c>
    </row>
    <row r="269" spans="1:18" x14ac:dyDescent="0.25">
      <c r="A269">
        <v>8003879954</v>
      </c>
      <c r="B269">
        <v>36</v>
      </c>
      <c r="C269">
        <v>1062017</v>
      </c>
      <c r="D269">
        <v>299</v>
      </c>
      <c r="E269" t="str">
        <f>"GST"</f>
        <v>GST</v>
      </c>
      <c r="F269">
        <v>9938</v>
      </c>
      <c r="G269" t="str">
        <f>"17240178"</f>
        <v>17240178</v>
      </c>
      <c r="H269" s="1">
        <v>0.01</v>
      </c>
      <c r="I269" t="s">
        <v>28</v>
      </c>
      <c r="J269" s="1">
        <v>1505114.66</v>
      </c>
      <c r="K269" t="s">
        <v>26</v>
      </c>
      <c r="L269">
        <v>183438</v>
      </c>
      <c r="M269" t="str">
        <f>"PGTEFT2336          P14647 14646"</f>
        <v>PGTEFT2336          P14647 14646</v>
      </c>
      <c r="O269">
        <v>1</v>
      </c>
    </row>
    <row r="270" spans="1:18" x14ac:dyDescent="0.25">
      <c r="A270">
        <v>8003879954</v>
      </c>
      <c r="B270">
        <v>35</v>
      </c>
      <c r="C270">
        <v>1062017</v>
      </c>
      <c r="D270">
        <v>489</v>
      </c>
      <c r="E270" t="str">
        <f>"OTHER TRANSFER FEE"</f>
        <v>OTHER TRANSFER FEE</v>
      </c>
      <c r="F270">
        <v>9938</v>
      </c>
      <c r="G270" t="str">
        <f>"17240178"</f>
        <v>17240178</v>
      </c>
      <c r="H270" s="1">
        <v>0.1</v>
      </c>
      <c r="I270" t="s">
        <v>28</v>
      </c>
      <c r="J270" s="1">
        <v>1505114.67</v>
      </c>
      <c r="K270" t="s">
        <v>26</v>
      </c>
      <c r="L270">
        <v>183438</v>
      </c>
      <c r="M270" t="str">
        <f>"PGTEFT2336          P14647 14646"</f>
        <v>PGTEFT2336          P14647 14646</v>
      </c>
      <c r="O270">
        <v>1</v>
      </c>
    </row>
    <row r="271" spans="1:18" x14ac:dyDescent="0.25">
      <c r="A271">
        <v>8003879954</v>
      </c>
      <c r="B271">
        <v>34</v>
      </c>
      <c r="C271">
        <v>1062017</v>
      </c>
      <c r="D271">
        <v>60</v>
      </c>
      <c r="E271" t="str">
        <f>"TR TO C/A"</f>
        <v>TR TO C/A</v>
      </c>
      <c r="F271">
        <v>9938</v>
      </c>
      <c r="G271" t="str">
        <f>"17238117"</f>
        <v>17238117</v>
      </c>
      <c r="H271" s="1">
        <v>560</v>
      </c>
      <c r="I271" t="s">
        <v>28</v>
      </c>
      <c r="J271" s="1">
        <v>1505114.77</v>
      </c>
      <c r="K271" t="s">
        <v>26</v>
      </c>
      <c r="L271">
        <v>183438</v>
      </c>
      <c r="M271" t="str">
        <f>"WEBSITE &amp; MEDIA RELE MOHAMMAD ASHRAF BIN"</f>
        <v>WEBSITE &amp; MEDIA RELE MOHAMMAD ASHRAF BIN</v>
      </c>
      <c r="O271">
        <v>1</v>
      </c>
      <c r="P271" t="str">
        <f>"PGTEFT2332"</f>
        <v>PGTEFT2332</v>
      </c>
      <c r="Q271" t="str">
        <f>"PTE"</f>
        <v>PTE</v>
      </c>
    </row>
    <row r="272" spans="1:18" x14ac:dyDescent="0.25">
      <c r="A272">
        <v>8003879954</v>
      </c>
      <c r="B272">
        <v>33</v>
      </c>
      <c r="C272">
        <v>1062017</v>
      </c>
      <c r="D272">
        <v>60</v>
      </c>
      <c r="E272" t="str">
        <f>"TR TO C/A"</f>
        <v>TR TO C/A</v>
      </c>
      <c r="F272">
        <v>9938</v>
      </c>
      <c r="G272" t="str">
        <f>"17236895"</f>
        <v>17236895</v>
      </c>
      <c r="H272" s="1">
        <v>795</v>
      </c>
      <c r="I272" t="s">
        <v>28</v>
      </c>
      <c r="J272" s="1">
        <v>1505674.77</v>
      </c>
      <c r="K272" t="s">
        <v>26</v>
      </c>
      <c r="L272">
        <v>183438</v>
      </c>
      <c r="M272" t="str">
        <f>"BUSINESS WRITING COU PENANG SKILLS DEVEL"</f>
        <v>BUSINESS WRITING COU PENANG SKILLS DEVEL</v>
      </c>
      <c r="O272">
        <v>1</v>
      </c>
      <c r="P272" t="str">
        <f>"PGTEFT2336"</f>
        <v>PGTEFT2336</v>
      </c>
      <c r="Q272" t="str">
        <f>"INV1729320"</f>
        <v>INV1729320</v>
      </c>
    </row>
    <row r="273" spans="1:17" x14ac:dyDescent="0.25">
      <c r="A273">
        <v>8003879954</v>
      </c>
      <c r="B273">
        <v>32</v>
      </c>
      <c r="C273">
        <v>1062017</v>
      </c>
      <c r="D273">
        <v>341</v>
      </c>
      <c r="E273" t="str">
        <f>"TR IBG"</f>
        <v>TR IBG</v>
      </c>
      <c r="F273">
        <v>9938</v>
      </c>
      <c r="G273" t="str">
        <f>"17237183"</f>
        <v>17237183</v>
      </c>
      <c r="H273" s="1">
        <v>3600</v>
      </c>
      <c r="I273" t="s">
        <v>28</v>
      </c>
      <c r="J273" s="1">
        <v>1506469.77</v>
      </c>
      <c r="K273" t="s">
        <v>26</v>
      </c>
      <c r="L273">
        <v>183438</v>
      </c>
      <c r="M273" t="str">
        <f>"HWA YIK TOUR &amp; TRAVE"</f>
        <v>HWA YIK TOUR &amp; TRAVE</v>
      </c>
      <c r="O273">
        <v>1</v>
      </c>
      <c r="P273" t="str">
        <f>"PGTEFT2334"</f>
        <v>PGTEFT2334</v>
      </c>
      <c r="Q273" t="str">
        <f>"INV170406F"</f>
        <v>INV170406F</v>
      </c>
    </row>
    <row r="274" spans="1:17" x14ac:dyDescent="0.25">
      <c r="A274">
        <v>8003879954</v>
      </c>
      <c r="B274">
        <v>31</v>
      </c>
      <c r="C274">
        <v>1062017</v>
      </c>
      <c r="D274">
        <v>299</v>
      </c>
      <c r="E274" t="str">
        <f>"GST"</f>
        <v>GST</v>
      </c>
      <c r="F274">
        <v>9938</v>
      </c>
      <c r="G274" t="str">
        <f>"17237183"</f>
        <v>17237183</v>
      </c>
      <c r="H274" s="1">
        <v>0.01</v>
      </c>
      <c r="I274" t="s">
        <v>28</v>
      </c>
      <c r="J274" s="1">
        <v>1510069.77</v>
      </c>
      <c r="K274" t="s">
        <v>26</v>
      </c>
      <c r="L274">
        <v>183438</v>
      </c>
      <c r="M274" t="str">
        <f>"PGTEFT2334          INV170406F"</f>
        <v>PGTEFT2334          INV170406F</v>
      </c>
      <c r="O274">
        <v>1</v>
      </c>
    </row>
    <row r="275" spans="1:17" x14ac:dyDescent="0.25">
      <c r="A275">
        <v>8003879954</v>
      </c>
      <c r="B275">
        <v>30</v>
      </c>
      <c r="C275">
        <v>1062017</v>
      </c>
      <c r="D275">
        <v>489</v>
      </c>
      <c r="E275" t="str">
        <f>"OTHER TRANSFER FEE"</f>
        <v>OTHER TRANSFER FEE</v>
      </c>
      <c r="F275">
        <v>9938</v>
      </c>
      <c r="G275" t="str">
        <f>"17237183"</f>
        <v>17237183</v>
      </c>
      <c r="H275" s="1">
        <v>0.1</v>
      </c>
      <c r="I275" t="s">
        <v>28</v>
      </c>
      <c r="J275" s="1">
        <v>1510069.78</v>
      </c>
      <c r="K275" t="s">
        <v>26</v>
      </c>
      <c r="L275">
        <v>183438</v>
      </c>
      <c r="M275" t="str">
        <f>"PGTEFT2334          INV170406F"</f>
        <v>PGTEFT2334          INV170406F</v>
      </c>
      <c r="O275">
        <v>1</v>
      </c>
    </row>
    <row r="276" spans="1:17" x14ac:dyDescent="0.25">
      <c r="A276">
        <v>8003879954</v>
      </c>
      <c r="B276">
        <v>29</v>
      </c>
      <c r="C276">
        <v>1062017</v>
      </c>
      <c r="D276">
        <v>345</v>
      </c>
      <c r="E276" t="str">
        <f>"TR TO SAVINGS"</f>
        <v>TR TO SAVINGS</v>
      </c>
      <c r="F276">
        <v>9938</v>
      </c>
      <c r="G276" t="str">
        <f>"17238555"</f>
        <v>17238555</v>
      </c>
      <c r="H276" s="1">
        <v>550</v>
      </c>
      <c r="I276" t="s">
        <v>28</v>
      </c>
      <c r="J276" s="1">
        <v>1510069.88</v>
      </c>
      <c r="K276" t="s">
        <v>26</v>
      </c>
      <c r="L276">
        <v>183438</v>
      </c>
      <c r="M276" t="str">
        <f>"PTE-TRANSLATION IZZARDZAFLI BIN PAD"</f>
        <v>PTE-TRANSLATION IZZARDZAFLI BIN PAD</v>
      </c>
      <c r="O276">
        <v>1</v>
      </c>
      <c r="P276" t="str">
        <f>"PGTEFT2330"</f>
        <v>PGTEFT2330</v>
      </c>
      <c r="Q276" t="str">
        <f>"INV13042017"</f>
        <v>INV13042017</v>
      </c>
    </row>
    <row r="277" spans="1:17" x14ac:dyDescent="0.25">
      <c r="A277">
        <v>8003879954</v>
      </c>
      <c r="B277">
        <v>28</v>
      </c>
      <c r="C277">
        <v>1062017</v>
      </c>
      <c r="D277">
        <v>341</v>
      </c>
      <c r="E277" t="str">
        <f>"TR IBG"</f>
        <v>TR IBG</v>
      </c>
      <c r="F277">
        <v>9938</v>
      </c>
      <c r="G277" t="str">
        <f>"17244792"</f>
        <v>17244792</v>
      </c>
      <c r="H277" s="1">
        <v>166.47</v>
      </c>
      <c r="I277" t="s">
        <v>28</v>
      </c>
      <c r="J277" s="1">
        <v>1510619.88</v>
      </c>
      <c r="K277" t="s">
        <v>26</v>
      </c>
      <c r="L277">
        <v>182643</v>
      </c>
      <c r="M277" t="str">
        <f>"ASIA ONTIME (M) SDN"</f>
        <v>ASIA ONTIME (M) SDN</v>
      </c>
      <c r="O277">
        <v>1</v>
      </c>
      <c r="P277" t="str">
        <f>"PGTEFT2319"</f>
        <v>PGTEFT2319</v>
      </c>
      <c r="Q277" t="str">
        <f>"10012965"</f>
        <v>10012965</v>
      </c>
    </row>
    <row r="278" spans="1:17" x14ac:dyDescent="0.25">
      <c r="A278">
        <v>8003879954</v>
      </c>
      <c r="B278">
        <v>27</v>
      </c>
      <c r="C278">
        <v>1062017</v>
      </c>
      <c r="D278">
        <v>299</v>
      </c>
      <c r="E278" t="str">
        <f>"GST"</f>
        <v>GST</v>
      </c>
      <c r="F278">
        <v>9938</v>
      </c>
      <c r="G278" t="str">
        <f>"17244792"</f>
        <v>17244792</v>
      </c>
      <c r="H278" s="1">
        <v>0.01</v>
      </c>
      <c r="I278" t="s">
        <v>28</v>
      </c>
      <c r="J278" s="1">
        <v>1510786.35</v>
      </c>
      <c r="K278" t="s">
        <v>26</v>
      </c>
      <c r="L278">
        <v>182643</v>
      </c>
      <c r="M278" t="str">
        <f>"PGTEFT2319          10012965"</f>
        <v>PGTEFT2319          10012965</v>
      </c>
      <c r="O278">
        <v>1</v>
      </c>
    </row>
    <row r="279" spans="1:17" x14ac:dyDescent="0.25">
      <c r="A279">
        <v>8003879954</v>
      </c>
      <c r="B279">
        <v>26</v>
      </c>
      <c r="C279">
        <v>1062017</v>
      </c>
      <c r="D279">
        <v>489</v>
      </c>
      <c r="E279" t="str">
        <f>"OTHER TRANSFER FEE"</f>
        <v>OTHER TRANSFER FEE</v>
      </c>
      <c r="F279">
        <v>9938</v>
      </c>
      <c r="G279" t="str">
        <f>"17244792"</f>
        <v>17244792</v>
      </c>
      <c r="H279" s="1">
        <v>0.1</v>
      </c>
      <c r="I279" t="s">
        <v>28</v>
      </c>
      <c r="J279" s="1">
        <v>1510786.36</v>
      </c>
      <c r="K279" t="s">
        <v>26</v>
      </c>
      <c r="L279">
        <v>182643</v>
      </c>
      <c r="M279" t="str">
        <f>"PGTEFT2319          10012965"</f>
        <v>PGTEFT2319          10012965</v>
      </c>
      <c r="O279">
        <v>1</v>
      </c>
    </row>
    <row r="280" spans="1:17" x14ac:dyDescent="0.25">
      <c r="A280">
        <v>8003879954</v>
      </c>
      <c r="B280">
        <v>25</v>
      </c>
      <c r="C280">
        <v>1062017</v>
      </c>
      <c r="D280">
        <v>60</v>
      </c>
      <c r="E280" t="str">
        <f>"TR TO C/A"</f>
        <v>TR TO C/A</v>
      </c>
      <c r="F280">
        <v>9938</v>
      </c>
      <c r="G280" t="str">
        <f>"17242049"</f>
        <v>17242049</v>
      </c>
      <c r="H280" s="1">
        <v>390</v>
      </c>
      <c r="I280" t="s">
        <v>28</v>
      </c>
      <c r="J280" s="1">
        <v>1510786.46</v>
      </c>
      <c r="K280" t="s">
        <v>26</v>
      </c>
      <c r="L280">
        <v>182643</v>
      </c>
      <c r="M280" t="str">
        <f>"PAYROLL-MAY'17 CORPORATENET ADVISO"</f>
        <v>PAYROLL-MAY'17 CORPORATENET ADVISO</v>
      </c>
      <c r="O280">
        <v>1</v>
      </c>
      <c r="P280" t="str">
        <f>"PGTEFT2323"</f>
        <v>PGTEFT2323</v>
      </c>
      <c r="Q280" t="str">
        <f>"CA17-0079"</f>
        <v>CA17-0079</v>
      </c>
    </row>
    <row r="281" spans="1:17" x14ac:dyDescent="0.25">
      <c r="A281">
        <v>8003879954</v>
      </c>
      <c r="B281">
        <v>24</v>
      </c>
      <c r="C281">
        <v>1062017</v>
      </c>
      <c r="D281">
        <v>341</v>
      </c>
      <c r="E281" t="str">
        <f>"TR IBG"</f>
        <v>TR IBG</v>
      </c>
      <c r="F281">
        <v>9938</v>
      </c>
      <c r="G281" t="str">
        <f>"17244112"</f>
        <v>17244112</v>
      </c>
      <c r="H281" s="1">
        <v>9116</v>
      </c>
      <c r="I281" t="s">
        <v>28</v>
      </c>
      <c r="J281" s="1">
        <v>1511176.46</v>
      </c>
      <c r="K281" t="s">
        <v>26</v>
      </c>
      <c r="L281">
        <v>182640</v>
      </c>
      <c r="M281" t="str">
        <f>"BRAND-NEW BANNERSHOP"</f>
        <v>BRAND-NEW BANNERSHOP</v>
      </c>
      <c r="O281">
        <v>1</v>
      </c>
      <c r="P281" t="str">
        <f>"PGTEFT2322"</f>
        <v>PGTEFT2322</v>
      </c>
    </row>
    <row r="282" spans="1:17" x14ac:dyDescent="0.25">
      <c r="A282">
        <v>8003879954</v>
      </c>
      <c r="B282">
        <v>23</v>
      </c>
      <c r="C282">
        <v>1062017</v>
      </c>
      <c r="D282">
        <v>299</v>
      </c>
      <c r="E282" t="str">
        <f>"GST"</f>
        <v>GST</v>
      </c>
      <c r="F282">
        <v>9938</v>
      </c>
      <c r="G282" t="str">
        <f>"17244112"</f>
        <v>17244112</v>
      </c>
      <c r="H282" s="1">
        <v>0.01</v>
      </c>
      <c r="I282" t="s">
        <v>28</v>
      </c>
      <c r="J282" s="1">
        <v>1520292.46</v>
      </c>
      <c r="K282" t="s">
        <v>26</v>
      </c>
      <c r="L282">
        <v>182640</v>
      </c>
      <c r="M282" t="str">
        <f>"PGTEFT2322"</f>
        <v>PGTEFT2322</v>
      </c>
      <c r="O282">
        <v>1</v>
      </c>
    </row>
    <row r="283" spans="1:17" x14ac:dyDescent="0.25">
      <c r="A283">
        <v>8003879954</v>
      </c>
      <c r="B283">
        <v>22</v>
      </c>
      <c r="C283">
        <v>1062017</v>
      </c>
      <c r="D283">
        <v>489</v>
      </c>
      <c r="E283" t="str">
        <f>"OTHER TRANSFER FEE"</f>
        <v>OTHER TRANSFER FEE</v>
      </c>
      <c r="F283">
        <v>9938</v>
      </c>
      <c r="G283" t="str">
        <f>"17244112"</f>
        <v>17244112</v>
      </c>
      <c r="H283" s="1">
        <v>0.1</v>
      </c>
      <c r="I283" t="s">
        <v>28</v>
      </c>
      <c r="J283" s="1">
        <v>1520292.47</v>
      </c>
      <c r="K283" t="s">
        <v>26</v>
      </c>
      <c r="L283">
        <v>182640</v>
      </c>
      <c r="M283" t="str">
        <f>"PGTEFT2322"</f>
        <v>PGTEFT2322</v>
      </c>
      <c r="O283">
        <v>1</v>
      </c>
    </row>
    <row r="284" spans="1:17" x14ac:dyDescent="0.25">
      <c r="A284">
        <v>8003879954</v>
      </c>
      <c r="B284">
        <v>21</v>
      </c>
      <c r="C284">
        <v>1062017</v>
      </c>
      <c r="D284">
        <v>341</v>
      </c>
      <c r="E284" t="str">
        <f>"TR IBG"</f>
        <v>TR IBG</v>
      </c>
      <c r="F284">
        <v>9938</v>
      </c>
      <c r="G284" t="str">
        <f>"17245264"</f>
        <v>17245264</v>
      </c>
      <c r="H284" s="1">
        <v>362.09</v>
      </c>
      <c r="I284" t="s">
        <v>28</v>
      </c>
      <c r="J284" s="1">
        <v>1520292.57</v>
      </c>
      <c r="K284" t="s">
        <v>26</v>
      </c>
      <c r="L284">
        <v>182640</v>
      </c>
      <c r="M284" t="str">
        <f>"AKAUN PUNGUTAN POTON"</f>
        <v>AKAUN PUNGUTAN POTON</v>
      </c>
      <c r="O284">
        <v>1</v>
      </c>
      <c r="P284" t="str">
        <f>"PGTEFT2316"</f>
        <v>PGTEFT2316</v>
      </c>
      <c r="Q284" t="str">
        <f>"PTPTN LOAN"</f>
        <v>PTPTN LOAN</v>
      </c>
    </row>
    <row r="285" spans="1:17" x14ac:dyDescent="0.25">
      <c r="A285">
        <v>8003879954</v>
      </c>
      <c r="B285">
        <v>20</v>
      </c>
      <c r="C285">
        <v>1062017</v>
      </c>
      <c r="D285">
        <v>299</v>
      </c>
      <c r="E285" t="str">
        <f>"GST"</f>
        <v>GST</v>
      </c>
      <c r="F285">
        <v>9938</v>
      </c>
      <c r="G285" t="str">
        <f>"17245264"</f>
        <v>17245264</v>
      </c>
      <c r="H285" s="1">
        <v>0.01</v>
      </c>
      <c r="I285" t="s">
        <v>28</v>
      </c>
      <c r="J285" s="1">
        <v>1520654.66</v>
      </c>
      <c r="K285" t="s">
        <v>26</v>
      </c>
      <c r="L285">
        <v>182640</v>
      </c>
      <c r="M285" t="str">
        <f>"PGTEFT2316          PTPTN LOAN"</f>
        <v>PGTEFT2316          PTPTN LOAN</v>
      </c>
      <c r="O285">
        <v>1</v>
      </c>
    </row>
    <row r="286" spans="1:17" x14ac:dyDescent="0.25">
      <c r="A286">
        <v>8003879954</v>
      </c>
      <c r="B286">
        <v>19</v>
      </c>
      <c r="C286">
        <v>1062017</v>
      </c>
      <c r="D286">
        <v>489</v>
      </c>
      <c r="E286" t="str">
        <f>"OTHER TRANSFER FEE"</f>
        <v>OTHER TRANSFER FEE</v>
      </c>
      <c r="F286">
        <v>9938</v>
      </c>
      <c r="G286" t="str">
        <f>"17245264"</f>
        <v>17245264</v>
      </c>
      <c r="H286" s="1">
        <v>0.1</v>
      </c>
      <c r="I286" t="s">
        <v>28</v>
      </c>
      <c r="J286" s="1">
        <v>1520654.67</v>
      </c>
      <c r="K286" t="s">
        <v>26</v>
      </c>
      <c r="L286">
        <v>182640</v>
      </c>
      <c r="M286" t="str">
        <f>"PGTEFT2316          PTPTN LOAN"</f>
        <v>PGTEFT2316          PTPTN LOAN</v>
      </c>
      <c r="O286">
        <v>1</v>
      </c>
    </row>
    <row r="287" spans="1:17" x14ac:dyDescent="0.25">
      <c r="A287">
        <v>8003879954</v>
      </c>
      <c r="B287">
        <v>18</v>
      </c>
      <c r="C287">
        <v>1062017</v>
      </c>
      <c r="D287">
        <v>60</v>
      </c>
      <c r="E287" t="str">
        <f>"TR TO C/A"</f>
        <v>TR TO C/A</v>
      </c>
      <c r="F287">
        <v>9938</v>
      </c>
      <c r="G287" t="str">
        <f>"17244312"</f>
        <v>17244312</v>
      </c>
      <c r="H287" s="1">
        <v>5459</v>
      </c>
      <c r="I287" t="s">
        <v>28</v>
      </c>
      <c r="J287" s="1">
        <v>1520654.77</v>
      </c>
      <c r="K287" t="s">
        <v>26</v>
      </c>
      <c r="L287">
        <v>182641</v>
      </c>
      <c r="M287" t="str">
        <f>"AUDIT FEE ALJEFFRI DEAN (A/C"</f>
        <v>AUDIT FEE ALJEFFRI DEAN (A/C</v>
      </c>
      <c r="O287">
        <v>1</v>
      </c>
      <c r="P287" t="str">
        <f>"PGTEFT2321"</f>
        <v>PGTEFT2321</v>
      </c>
      <c r="Q287" t="str">
        <f>"INV800697"</f>
        <v>INV800697</v>
      </c>
    </row>
    <row r="288" spans="1:17" x14ac:dyDescent="0.25">
      <c r="A288">
        <v>8003879954</v>
      </c>
      <c r="B288">
        <v>17</v>
      </c>
      <c r="C288">
        <v>1062017</v>
      </c>
      <c r="D288">
        <v>341</v>
      </c>
      <c r="E288" t="str">
        <f>"TR IBG"</f>
        <v>TR IBG</v>
      </c>
      <c r="F288">
        <v>9938</v>
      </c>
      <c r="G288" t="str">
        <f>"17241105"</f>
        <v>17241105</v>
      </c>
      <c r="H288" s="1">
        <v>3150</v>
      </c>
      <c r="I288" t="s">
        <v>28</v>
      </c>
      <c r="J288" s="1">
        <v>1526113.77</v>
      </c>
      <c r="K288" t="s">
        <v>26</v>
      </c>
      <c r="L288">
        <v>182641</v>
      </c>
      <c r="M288" t="str">
        <f>"EVERCOOL AIR-CONDITI"</f>
        <v>EVERCOOL AIR-CONDITI</v>
      </c>
      <c r="O288">
        <v>1</v>
      </c>
      <c r="P288" t="str">
        <f>"PGTEFT2325"</f>
        <v>PGTEFT2325</v>
      </c>
      <c r="Q288" t="str">
        <f>"INV00207"</f>
        <v>INV00207</v>
      </c>
    </row>
    <row r="289" spans="1:17" x14ac:dyDescent="0.25">
      <c r="A289">
        <v>8003879954</v>
      </c>
      <c r="B289">
        <v>16</v>
      </c>
      <c r="C289">
        <v>1062017</v>
      </c>
      <c r="D289">
        <v>299</v>
      </c>
      <c r="E289" t="str">
        <f>"GST"</f>
        <v>GST</v>
      </c>
      <c r="F289">
        <v>9938</v>
      </c>
      <c r="G289" t="str">
        <f>"17241105"</f>
        <v>17241105</v>
      </c>
      <c r="H289" s="1">
        <v>0.01</v>
      </c>
      <c r="I289" t="s">
        <v>28</v>
      </c>
      <c r="J289" s="1">
        <v>1529263.77</v>
      </c>
      <c r="K289" t="s">
        <v>26</v>
      </c>
      <c r="L289">
        <v>182641</v>
      </c>
      <c r="M289" t="str">
        <f>"PGTEFT2325          INV00207"</f>
        <v>PGTEFT2325          INV00207</v>
      </c>
      <c r="O289">
        <v>1</v>
      </c>
    </row>
    <row r="290" spans="1:17" x14ac:dyDescent="0.25">
      <c r="A290">
        <v>8003879954</v>
      </c>
      <c r="B290">
        <v>15</v>
      </c>
      <c r="C290">
        <v>1062017</v>
      </c>
      <c r="D290">
        <v>489</v>
      </c>
      <c r="E290" t="str">
        <f>"OTHER TRANSFER FEE"</f>
        <v>OTHER TRANSFER FEE</v>
      </c>
      <c r="F290">
        <v>9938</v>
      </c>
      <c r="G290" t="str">
        <f>"17241105"</f>
        <v>17241105</v>
      </c>
      <c r="H290" s="1">
        <v>0.1</v>
      </c>
      <c r="I290" t="s">
        <v>28</v>
      </c>
      <c r="J290" s="1">
        <v>1529263.78</v>
      </c>
      <c r="K290" t="s">
        <v>26</v>
      </c>
      <c r="L290">
        <v>182641</v>
      </c>
      <c r="M290" t="str">
        <f>"PGTEFT2325          INV00207"</f>
        <v>PGTEFT2325          INV00207</v>
      </c>
      <c r="O290">
        <v>1</v>
      </c>
    </row>
    <row r="291" spans="1:17" x14ac:dyDescent="0.25">
      <c r="A291">
        <v>8003879954</v>
      </c>
      <c r="B291">
        <v>14</v>
      </c>
      <c r="C291">
        <v>1062017</v>
      </c>
      <c r="D291">
        <v>345</v>
      </c>
      <c r="E291" t="str">
        <f>"TR TO SAVINGS"</f>
        <v>TR TO SAVINGS</v>
      </c>
      <c r="F291">
        <v>9938</v>
      </c>
      <c r="G291" t="str">
        <f>"17245631"</f>
        <v>17245631</v>
      </c>
      <c r="H291" s="1">
        <v>206</v>
      </c>
      <c r="I291" t="s">
        <v>28</v>
      </c>
      <c r="J291" s="1">
        <v>1529263.88</v>
      </c>
      <c r="K291" t="s">
        <v>26</v>
      </c>
      <c r="L291">
        <v>182641</v>
      </c>
      <c r="M291" t="str">
        <f>"PTE-JOHOR THOY SIEW PING"</f>
        <v>PTE-JOHOR THOY SIEW PING</v>
      </c>
      <c r="O291">
        <v>1</v>
      </c>
      <c r="P291" t="str">
        <f>"PGTEFT2341"</f>
        <v>PGTEFT2341</v>
      </c>
      <c r="Q291" t="str">
        <f>"CLAIMS"</f>
        <v>CLAIMS</v>
      </c>
    </row>
    <row r="292" spans="1:17" x14ac:dyDescent="0.25">
      <c r="A292">
        <v>8003879954</v>
      </c>
      <c r="B292">
        <v>13</v>
      </c>
      <c r="C292">
        <v>1062017</v>
      </c>
      <c r="D292">
        <v>341</v>
      </c>
      <c r="E292" t="str">
        <f>"TR IBG"</f>
        <v>TR IBG</v>
      </c>
      <c r="F292">
        <v>9938</v>
      </c>
      <c r="G292" t="str">
        <f>"17244457"</f>
        <v>17244457</v>
      </c>
      <c r="H292" s="1">
        <v>90</v>
      </c>
      <c r="I292" t="s">
        <v>28</v>
      </c>
      <c r="J292" s="1">
        <v>1529469.88</v>
      </c>
      <c r="K292" t="s">
        <v>26</v>
      </c>
      <c r="L292">
        <v>182640</v>
      </c>
      <c r="M292" t="str">
        <f>"ABDUL SHUKOR BIN ABO"</f>
        <v>ABDUL SHUKOR BIN ABO</v>
      </c>
      <c r="O292">
        <v>1</v>
      </c>
      <c r="P292" t="str">
        <f>"PGTEFT2320"</f>
        <v>PGTEFT2320</v>
      </c>
    </row>
    <row r="293" spans="1:17" x14ac:dyDescent="0.25">
      <c r="A293">
        <v>8003879954</v>
      </c>
      <c r="B293">
        <v>12</v>
      </c>
      <c r="C293">
        <v>1062017</v>
      </c>
      <c r="D293">
        <v>299</v>
      </c>
      <c r="E293" t="str">
        <f>"GST"</f>
        <v>GST</v>
      </c>
      <c r="F293">
        <v>9938</v>
      </c>
      <c r="G293" t="str">
        <f>"17244457"</f>
        <v>17244457</v>
      </c>
      <c r="H293" s="1">
        <v>0.01</v>
      </c>
      <c r="I293" t="s">
        <v>28</v>
      </c>
      <c r="J293" s="1">
        <v>1529559.88</v>
      </c>
      <c r="K293" t="s">
        <v>26</v>
      </c>
      <c r="L293">
        <v>182640</v>
      </c>
      <c r="M293" t="str">
        <f>"PGTEFT2320"</f>
        <v>PGTEFT2320</v>
      </c>
      <c r="O293">
        <v>1</v>
      </c>
    </row>
    <row r="294" spans="1:17" x14ac:dyDescent="0.25">
      <c r="A294">
        <v>8003879954</v>
      </c>
      <c r="B294">
        <v>11</v>
      </c>
      <c r="C294">
        <v>1062017</v>
      </c>
      <c r="D294">
        <v>489</v>
      </c>
      <c r="E294" t="str">
        <f>"OTHER TRANSFER FEE"</f>
        <v>OTHER TRANSFER FEE</v>
      </c>
      <c r="F294">
        <v>9938</v>
      </c>
      <c r="G294" t="str">
        <f>"17244457"</f>
        <v>17244457</v>
      </c>
      <c r="H294" s="1">
        <v>0.1</v>
      </c>
      <c r="I294" t="s">
        <v>28</v>
      </c>
      <c r="J294" s="1">
        <v>1529559.89</v>
      </c>
      <c r="K294" t="s">
        <v>26</v>
      </c>
      <c r="L294">
        <v>182640</v>
      </c>
      <c r="M294" t="str">
        <f>"PGTEFT2320"</f>
        <v>PGTEFT2320</v>
      </c>
      <c r="O294">
        <v>1</v>
      </c>
    </row>
    <row r="295" spans="1:17" x14ac:dyDescent="0.25">
      <c r="A295">
        <v>8003879954</v>
      </c>
      <c r="B295">
        <v>10</v>
      </c>
      <c r="C295">
        <v>1062017</v>
      </c>
      <c r="D295">
        <v>341</v>
      </c>
      <c r="E295" t="str">
        <f>"TR IBG"</f>
        <v>TR IBG</v>
      </c>
      <c r="F295">
        <v>9938</v>
      </c>
      <c r="G295" t="str">
        <f>"17241458"</f>
        <v>17241458</v>
      </c>
      <c r="H295" s="1">
        <v>120</v>
      </c>
      <c r="I295" t="s">
        <v>28</v>
      </c>
      <c r="J295" s="1">
        <v>1529559.99</v>
      </c>
      <c r="K295" t="s">
        <v>26</v>
      </c>
      <c r="L295">
        <v>182640</v>
      </c>
      <c r="M295" t="str">
        <f>"CREATHINK SOLUTIONS"</f>
        <v>CREATHINK SOLUTIONS</v>
      </c>
      <c r="O295">
        <v>1</v>
      </c>
      <c r="P295" t="str">
        <f>"PGTEFT2324"</f>
        <v>PGTEFT2324</v>
      </c>
      <c r="Q295" t="str">
        <f>"2017-00014"</f>
        <v>2017-00014</v>
      </c>
    </row>
    <row r="296" spans="1:17" x14ac:dyDescent="0.25">
      <c r="A296">
        <v>8003879954</v>
      </c>
      <c r="B296">
        <v>9</v>
      </c>
      <c r="C296">
        <v>1062017</v>
      </c>
      <c r="D296">
        <v>299</v>
      </c>
      <c r="E296" t="str">
        <f>"GST"</f>
        <v>GST</v>
      </c>
      <c r="F296">
        <v>9938</v>
      </c>
      <c r="G296" t="str">
        <f>"17241458"</f>
        <v>17241458</v>
      </c>
      <c r="H296" s="1">
        <v>0.01</v>
      </c>
      <c r="I296" t="s">
        <v>28</v>
      </c>
      <c r="J296" s="1">
        <v>1529679.99</v>
      </c>
      <c r="K296" t="s">
        <v>26</v>
      </c>
      <c r="L296">
        <v>182640</v>
      </c>
      <c r="M296" t="str">
        <f>"PGTEFT2324          2017-00014"</f>
        <v>PGTEFT2324          2017-00014</v>
      </c>
      <c r="O296">
        <v>1</v>
      </c>
    </row>
    <row r="297" spans="1:17" x14ac:dyDescent="0.25">
      <c r="A297">
        <v>8003879954</v>
      </c>
      <c r="B297">
        <v>8</v>
      </c>
      <c r="C297">
        <v>1062017</v>
      </c>
      <c r="D297">
        <v>489</v>
      </c>
      <c r="E297" t="str">
        <f>"OTHER TRANSFER FEE"</f>
        <v>OTHER TRANSFER FEE</v>
      </c>
      <c r="F297">
        <v>9938</v>
      </c>
      <c r="G297" t="str">
        <f>"17241458"</f>
        <v>17241458</v>
      </c>
      <c r="H297" s="1">
        <v>0.1</v>
      </c>
      <c r="I297" t="s">
        <v>28</v>
      </c>
      <c r="J297" s="1">
        <v>1529680</v>
      </c>
      <c r="K297" t="s">
        <v>26</v>
      </c>
      <c r="L297">
        <v>182640</v>
      </c>
      <c r="M297" t="str">
        <f>"PGTEFT2324          2017-00014"</f>
        <v>PGTEFT2324          2017-00014</v>
      </c>
      <c r="O297">
        <v>1</v>
      </c>
    </row>
    <row r="298" spans="1:17" x14ac:dyDescent="0.25">
      <c r="A298">
        <v>8003879954</v>
      </c>
      <c r="B298">
        <v>7</v>
      </c>
      <c r="C298">
        <v>1062017</v>
      </c>
      <c r="D298">
        <v>341</v>
      </c>
      <c r="E298" t="str">
        <f>"TR IBG"</f>
        <v>TR IBG</v>
      </c>
      <c r="F298">
        <v>9938</v>
      </c>
      <c r="G298" t="str">
        <f>"17245680"</f>
        <v>17245680</v>
      </c>
      <c r="H298" s="1">
        <v>50</v>
      </c>
      <c r="I298" t="s">
        <v>28</v>
      </c>
      <c r="J298" s="1">
        <v>1529680.1</v>
      </c>
      <c r="K298" t="s">
        <v>26</v>
      </c>
      <c r="L298">
        <v>182640</v>
      </c>
      <c r="M298" t="str">
        <f>"HARPERS TRAVEL (M) S"</f>
        <v>HARPERS TRAVEL (M) S</v>
      </c>
      <c r="O298">
        <v>1</v>
      </c>
      <c r="P298" t="str">
        <f>"PGTEFT2329"</f>
        <v>PGTEFT2329</v>
      </c>
      <c r="Q298" t="str">
        <f>"HPT0010521"</f>
        <v>HPT0010521</v>
      </c>
    </row>
    <row r="299" spans="1:17" x14ac:dyDescent="0.25">
      <c r="A299">
        <v>8003879954</v>
      </c>
      <c r="B299">
        <v>6</v>
      </c>
      <c r="C299">
        <v>1062017</v>
      </c>
      <c r="D299">
        <v>299</v>
      </c>
      <c r="E299" t="str">
        <f>"GST"</f>
        <v>GST</v>
      </c>
      <c r="F299">
        <v>9938</v>
      </c>
      <c r="G299" t="str">
        <f>"17245680"</f>
        <v>17245680</v>
      </c>
      <c r="H299" s="1">
        <v>0.01</v>
      </c>
      <c r="I299" t="s">
        <v>28</v>
      </c>
      <c r="J299" s="1">
        <v>1529730.1</v>
      </c>
      <c r="K299" t="s">
        <v>26</v>
      </c>
      <c r="L299">
        <v>182640</v>
      </c>
      <c r="M299" t="str">
        <f>"PGTEFT2329          HPT0010521"</f>
        <v>PGTEFT2329          HPT0010521</v>
      </c>
      <c r="O299">
        <v>1</v>
      </c>
    </row>
    <row r="300" spans="1:17" x14ac:dyDescent="0.25">
      <c r="A300">
        <v>8003879954</v>
      </c>
      <c r="B300">
        <v>5</v>
      </c>
      <c r="C300">
        <v>1062017</v>
      </c>
      <c r="D300">
        <v>489</v>
      </c>
      <c r="E300" t="str">
        <f>"OTHER TRANSFER FEE"</f>
        <v>OTHER TRANSFER FEE</v>
      </c>
      <c r="F300">
        <v>9938</v>
      </c>
      <c r="G300" t="str">
        <f>"17245680"</f>
        <v>17245680</v>
      </c>
      <c r="H300" s="1">
        <v>0.1</v>
      </c>
      <c r="I300" t="s">
        <v>28</v>
      </c>
      <c r="J300" s="1">
        <v>1529730.11</v>
      </c>
      <c r="K300" t="s">
        <v>26</v>
      </c>
      <c r="L300">
        <v>182640</v>
      </c>
      <c r="M300" t="str">
        <f>"PGTEFT2329          HPT0010521"</f>
        <v>PGTEFT2329          HPT0010521</v>
      </c>
      <c r="O300">
        <v>1</v>
      </c>
    </row>
    <row r="301" spans="1:17" x14ac:dyDescent="0.25">
      <c r="A301">
        <v>8003879954</v>
      </c>
      <c r="B301">
        <v>4</v>
      </c>
      <c r="C301">
        <v>1062017</v>
      </c>
      <c r="D301">
        <v>540</v>
      </c>
      <c r="E301" t="str">
        <f>"ATM OPEN TRANSFER FROM SA"</f>
        <v>ATM OPEN TRANSFER FROM SA</v>
      </c>
      <c r="F301">
        <v>1408</v>
      </c>
      <c r="G301" t="str">
        <f>"FS356692"</f>
        <v>FS356692</v>
      </c>
      <c r="H301" s="1">
        <v>237.1</v>
      </c>
      <c r="I301" t="s">
        <v>26</v>
      </c>
      <c r="J301" s="1">
        <v>1529730.21</v>
      </c>
      <c r="K301" t="s">
        <v>26</v>
      </c>
      <c r="L301">
        <v>173611</v>
      </c>
      <c r="M301" t="str">
        <f>""</f>
        <v/>
      </c>
      <c r="O301">
        <v>1</v>
      </c>
    </row>
    <row r="302" spans="1:17" x14ac:dyDescent="0.25">
      <c r="A302">
        <v>8003879954</v>
      </c>
      <c r="B302">
        <v>3</v>
      </c>
      <c r="C302">
        <v>1062017</v>
      </c>
      <c r="D302">
        <v>141</v>
      </c>
      <c r="E302" t="str">
        <f>"AUTOPAY CR"</f>
        <v>AUTOPAY CR</v>
      </c>
      <c r="F302">
        <v>2001</v>
      </c>
      <c r="G302" t="str">
        <f>"17002354"</f>
        <v>17002354</v>
      </c>
      <c r="H302" s="1">
        <v>1000000</v>
      </c>
      <c r="I302" t="s">
        <v>26</v>
      </c>
      <c r="J302" s="1">
        <v>1529493.11</v>
      </c>
      <c r="K302" t="s">
        <v>26</v>
      </c>
      <c r="L302">
        <v>125120</v>
      </c>
      <c r="M302" t="str">
        <f>"PDC/PV17002354 DANA OPERASI FASA KE"</f>
        <v>PDC/PV17002354 DANA OPERASI FASA KE</v>
      </c>
      <c r="O302">
        <v>1</v>
      </c>
      <c r="P302" t="str">
        <f>"PDC/PV17002354 DANA"</f>
        <v>PDC/PV17002354 DANA</v>
      </c>
      <c r="Q302" t="str">
        <f>"Transfer from CIMB"</f>
        <v>Transfer from CIMB</v>
      </c>
    </row>
    <row r="303" spans="1:17" x14ac:dyDescent="0.25">
      <c r="A303">
        <v>8003879954</v>
      </c>
      <c r="B303">
        <v>2</v>
      </c>
      <c r="C303">
        <v>1062017</v>
      </c>
      <c r="D303">
        <v>141</v>
      </c>
      <c r="E303" t="str">
        <f>"I-FUNDS TR FROM SA"</f>
        <v>I-FUNDS TR FROM SA</v>
      </c>
      <c r="F303">
        <v>4568</v>
      </c>
      <c r="G303" t="str">
        <f>"34575"</f>
        <v>34575</v>
      </c>
      <c r="H303" s="1">
        <v>189.25</v>
      </c>
      <c r="I303" t="s">
        <v>26</v>
      </c>
      <c r="J303" s="1">
        <v>529493.11</v>
      </c>
      <c r="K303" t="s">
        <v>26</v>
      </c>
      <c r="L303">
        <v>101455</v>
      </c>
      <c r="M303" t="str">
        <f>""</f>
        <v/>
      </c>
      <c r="O303">
        <v>1</v>
      </c>
      <c r="P303" t="str">
        <f>"Balance"</f>
        <v>Balance</v>
      </c>
      <c r="Q303" t="str">
        <f>"Affa - Dubai"</f>
        <v>Affa - Dubai</v>
      </c>
    </row>
    <row r="304" spans="1:17" x14ac:dyDescent="0.25">
      <c r="A304">
        <v>8003879954</v>
      </c>
      <c r="B304">
        <v>1</v>
      </c>
      <c r="C304">
        <v>1062017</v>
      </c>
      <c r="D304">
        <v>321</v>
      </c>
      <c r="E304" t="str">
        <f>"HOUSE CHQ DR"</f>
        <v>HOUSE CHQ DR</v>
      </c>
      <c r="F304">
        <v>714</v>
      </c>
      <c r="G304" t="str">
        <f>"00687951"</f>
        <v>00687951</v>
      </c>
      <c r="H304" s="1">
        <v>17207.98</v>
      </c>
      <c r="I304" t="s">
        <v>28</v>
      </c>
      <c r="J304" s="1">
        <v>529303.86</v>
      </c>
      <c r="K304" t="s">
        <v>26</v>
      </c>
      <c r="L304">
        <v>101301</v>
      </c>
      <c r="M304" t="str">
        <f>""</f>
        <v/>
      </c>
      <c r="O304">
        <v>1</v>
      </c>
    </row>
    <row r="305" spans="8:17" x14ac:dyDescent="0.25">
      <c r="L305"/>
      <c r="Q305" t="str">
        <f>"INV99T 100T 101T 102"</f>
        <v>INV99T 100T 101T 102</v>
      </c>
    </row>
    <row r="307" spans="8:17" x14ac:dyDescent="0.25">
      <c r="H307" s="1">
        <f>SUBTOTAL(9,H8:H305)</f>
        <v>3837718.889999995</v>
      </c>
    </row>
  </sheetData>
  <autoFilter ref="A7:Q30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77"/>
  <sheetViews>
    <sheetView topLeftCell="A198" workbookViewId="0">
      <selection activeCell="H277" sqref="H277"/>
    </sheetView>
  </sheetViews>
  <sheetFormatPr defaultRowHeight="15" x14ac:dyDescent="0.25"/>
  <cols>
    <col min="1" max="1" width="11" bestFit="1" customWidth="1"/>
    <col min="5" max="5" width="29.5703125" bestFit="1" customWidth="1"/>
    <col min="7" max="7" width="21.5703125" customWidth="1"/>
    <col min="8" max="8" width="13.28515625" style="1" bestFit="1" customWidth="1"/>
    <col min="10" max="10" width="13.28515625" style="1" bestFit="1" customWidth="1"/>
    <col min="11" max="11" width="11.5703125" bestFit="1" customWidth="1"/>
    <col min="13" max="13" width="47.7109375" bestFit="1" customWidth="1"/>
    <col min="17" max="17" width="23.710937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419</v>
      </c>
    </row>
    <row r="5" spans="1:18" x14ac:dyDescent="0.25">
      <c r="A5" t="s">
        <v>420</v>
      </c>
    </row>
    <row r="6" spans="1:18" x14ac:dyDescent="0.25">
      <c r="A6" t="s">
        <v>421</v>
      </c>
    </row>
    <row r="7" spans="1:18" x14ac:dyDescent="0.25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s="1" t="s">
        <v>14</v>
      </c>
      <c r="I7" t="s">
        <v>15</v>
      </c>
      <c r="J7" s="1" t="s">
        <v>16</v>
      </c>
      <c r="K7" t="s">
        <v>17</v>
      </c>
      <c r="L7" t="s">
        <v>18</v>
      </c>
      <c r="M7" t="s">
        <v>19</v>
      </c>
      <c r="N7" t="s">
        <v>20</v>
      </c>
      <c r="O7" t="s">
        <v>21</v>
      </c>
      <c r="P7" t="s">
        <v>22</v>
      </c>
      <c r="Q7" t="s">
        <v>23</v>
      </c>
      <c r="R7" t="s">
        <v>24</v>
      </c>
    </row>
    <row r="8" spans="1:18" x14ac:dyDescent="0.25">
      <c r="A8">
        <v>8003879954</v>
      </c>
      <c r="B8">
        <v>13</v>
      </c>
      <c r="C8">
        <v>31072017</v>
      </c>
      <c r="D8">
        <v>299</v>
      </c>
      <c r="E8" t="s">
        <v>30</v>
      </c>
      <c r="H8" s="1">
        <v>0.03</v>
      </c>
      <c r="I8" t="s">
        <v>28</v>
      </c>
      <c r="J8" s="1">
        <v>609643.89</v>
      </c>
      <c r="K8" t="s">
        <v>26</v>
      </c>
      <c r="L8">
        <v>10400</v>
      </c>
      <c r="M8" t="s">
        <v>53</v>
      </c>
      <c r="O8">
        <v>1</v>
      </c>
    </row>
    <row r="9" spans="1:18" hidden="1" x14ac:dyDescent="0.25">
      <c r="A9">
        <v>8003879954</v>
      </c>
      <c r="B9">
        <v>12</v>
      </c>
      <c r="C9">
        <v>31072017</v>
      </c>
      <c r="D9">
        <v>819</v>
      </c>
      <c r="E9" t="s">
        <v>32</v>
      </c>
      <c r="H9" s="1">
        <v>0.5</v>
      </c>
      <c r="I9" t="s">
        <v>28</v>
      </c>
      <c r="J9" s="1">
        <v>609643.92000000004</v>
      </c>
      <c r="K9" t="s">
        <v>26</v>
      </c>
      <c r="L9">
        <v>10400</v>
      </c>
      <c r="M9" t="s">
        <v>53</v>
      </c>
      <c r="O9">
        <v>1</v>
      </c>
    </row>
    <row r="10" spans="1:18" x14ac:dyDescent="0.25">
      <c r="A10">
        <v>8003879954</v>
      </c>
      <c r="B10">
        <v>11</v>
      </c>
      <c r="C10">
        <v>31072017</v>
      </c>
      <c r="D10">
        <v>299</v>
      </c>
      <c r="E10" t="s">
        <v>30</v>
      </c>
      <c r="H10" s="1">
        <v>0.06</v>
      </c>
      <c r="I10" t="s">
        <v>28</v>
      </c>
      <c r="J10" s="1">
        <v>609644.42000000004</v>
      </c>
      <c r="K10" t="s">
        <v>26</v>
      </c>
      <c r="L10">
        <v>10400</v>
      </c>
      <c r="M10" t="s">
        <v>53</v>
      </c>
      <c r="O10">
        <v>1</v>
      </c>
    </row>
    <row r="11" spans="1:18" hidden="1" x14ac:dyDescent="0.25">
      <c r="A11">
        <v>8003879954</v>
      </c>
      <c r="B11">
        <v>10</v>
      </c>
      <c r="C11">
        <v>31072017</v>
      </c>
      <c r="D11">
        <v>819</v>
      </c>
      <c r="E11" t="s">
        <v>32</v>
      </c>
      <c r="H11" s="1">
        <v>1</v>
      </c>
      <c r="I11" t="s">
        <v>28</v>
      </c>
      <c r="J11" s="1">
        <v>609644.48</v>
      </c>
      <c r="K11" t="s">
        <v>26</v>
      </c>
      <c r="L11">
        <v>10400</v>
      </c>
      <c r="M11" t="s">
        <v>53</v>
      </c>
      <c r="O11">
        <v>1</v>
      </c>
    </row>
    <row r="12" spans="1:18" hidden="1" x14ac:dyDescent="0.25">
      <c r="A12">
        <v>8003879954</v>
      </c>
      <c r="B12">
        <v>9</v>
      </c>
      <c r="C12">
        <v>31072017</v>
      </c>
      <c r="D12">
        <v>321</v>
      </c>
      <c r="E12" t="s">
        <v>37</v>
      </c>
      <c r="F12">
        <v>0</v>
      </c>
      <c r="G12" t="s">
        <v>651</v>
      </c>
      <c r="H12" s="1">
        <v>508.05</v>
      </c>
      <c r="I12" t="s">
        <v>28</v>
      </c>
      <c r="J12" s="1">
        <v>609645.48</v>
      </c>
      <c r="K12" t="s">
        <v>26</v>
      </c>
      <c r="L12">
        <v>10203</v>
      </c>
      <c r="M12" t="s">
        <v>53</v>
      </c>
      <c r="O12">
        <v>1</v>
      </c>
    </row>
    <row r="13" spans="1:18" hidden="1" x14ac:dyDescent="0.25">
      <c r="A13">
        <v>8003879954</v>
      </c>
      <c r="B13">
        <v>8</v>
      </c>
      <c r="C13">
        <v>31072017</v>
      </c>
      <c r="D13">
        <v>323</v>
      </c>
      <c r="E13" t="s">
        <v>33</v>
      </c>
      <c r="F13">
        <v>0</v>
      </c>
      <c r="G13" t="s">
        <v>652</v>
      </c>
      <c r="H13" s="1">
        <v>530</v>
      </c>
      <c r="I13" t="s">
        <v>28</v>
      </c>
      <c r="J13" s="1">
        <v>610153.53</v>
      </c>
      <c r="K13" t="s">
        <v>26</v>
      </c>
      <c r="L13">
        <v>10203</v>
      </c>
      <c r="M13" t="s">
        <v>53</v>
      </c>
      <c r="O13">
        <v>1</v>
      </c>
    </row>
    <row r="14" spans="1:18" hidden="1" x14ac:dyDescent="0.25">
      <c r="A14">
        <v>8003879954</v>
      </c>
      <c r="B14">
        <v>7</v>
      </c>
      <c r="C14">
        <v>31072017</v>
      </c>
      <c r="D14">
        <v>323</v>
      </c>
      <c r="E14" t="s">
        <v>33</v>
      </c>
      <c r="F14">
        <v>0</v>
      </c>
      <c r="G14" t="s">
        <v>653</v>
      </c>
      <c r="H14" s="1">
        <v>12206.14</v>
      </c>
      <c r="I14" t="s">
        <v>28</v>
      </c>
      <c r="J14" s="1">
        <v>610683.53</v>
      </c>
      <c r="K14" t="s">
        <v>26</v>
      </c>
      <c r="L14">
        <v>10203</v>
      </c>
      <c r="M14" t="s">
        <v>53</v>
      </c>
      <c r="O14">
        <v>1</v>
      </c>
    </row>
    <row r="15" spans="1:18" hidden="1" x14ac:dyDescent="0.25">
      <c r="A15">
        <v>8003879954</v>
      </c>
      <c r="B15">
        <v>6</v>
      </c>
      <c r="C15">
        <v>31072017</v>
      </c>
      <c r="D15">
        <v>141</v>
      </c>
      <c r="E15" t="s">
        <v>36</v>
      </c>
      <c r="F15">
        <v>4696</v>
      </c>
      <c r="G15" t="s">
        <v>654</v>
      </c>
      <c r="H15" s="1">
        <v>257.5</v>
      </c>
      <c r="I15" t="s">
        <v>26</v>
      </c>
      <c r="J15" s="1">
        <v>622889.67000000004</v>
      </c>
      <c r="K15" t="s">
        <v>26</v>
      </c>
      <c r="L15">
        <v>173113</v>
      </c>
      <c r="M15" t="s">
        <v>53</v>
      </c>
      <c r="O15">
        <v>1</v>
      </c>
      <c r="P15" t="s">
        <v>655</v>
      </c>
      <c r="R15" t="s">
        <v>656</v>
      </c>
    </row>
    <row r="16" spans="1:18" hidden="1" x14ac:dyDescent="0.25">
      <c r="A16">
        <v>8003879954</v>
      </c>
      <c r="B16">
        <v>5</v>
      </c>
      <c r="C16">
        <v>31072017</v>
      </c>
      <c r="D16">
        <v>5</v>
      </c>
      <c r="E16" t="s">
        <v>42</v>
      </c>
      <c r="H16" s="1">
        <v>450000</v>
      </c>
      <c r="I16" t="s">
        <v>26</v>
      </c>
      <c r="J16" s="1">
        <v>622632.17000000004</v>
      </c>
      <c r="K16" t="s">
        <v>26</v>
      </c>
      <c r="L16">
        <v>152232</v>
      </c>
      <c r="M16" t="s">
        <v>657</v>
      </c>
      <c r="O16">
        <v>1</v>
      </c>
      <c r="P16" t="s">
        <v>658</v>
      </c>
      <c r="Q16" t="s">
        <v>59</v>
      </c>
      <c r="R16" t="s">
        <v>60</v>
      </c>
    </row>
    <row r="17" spans="1:18" hidden="1" x14ac:dyDescent="0.25">
      <c r="A17">
        <v>8003879954</v>
      </c>
      <c r="B17">
        <v>4</v>
      </c>
      <c r="C17">
        <v>31072017</v>
      </c>
      <c r="D17">
        <v>141</v>
      </c>
      <c r="E17" t="s">
        <v>347</v>
      </c>
      <c r="F17" t="s">
        <v>333</v>
      </c>
      <c r="G17" t="s">
        <v>659</v>
      </c>
      <c r="H17" s="1">
        <v>11000</v>
      </c>
      <c r="I17" t="s">
        <v>26</v>
      </c>
      <c r="J17" s="1">
        <v>172632.17</v>
      </c>
      <c r="K17" t="s">
        <v>26</v>
      </c>
      <c r="L17">
        <v>151112</v>
      </c>
      <c r="M17" t="s">
        <v>53</v>
      </c>
      <c r="O17">
        <v>1</v>
      </c>
    </row>
    <row r="18" spans="1:18" x14ac:dyDescent="0.25">
      <c r="A18">
        <v>8003879954</v>
      </c>
      <c r="B18">
        <v>3</v>
      </c>
      <c r="C18">
        <v>31072017</v>
      </c>
      <c r="D18">
        <v>299</v>
      </c>
      <c r="E18" t="s">
        <v>30</v>
      </c>
      <c r="F18">
        <v>2001</v>
      </c>
      <c r="G18" t="s">
        <v>660</v>
      </c>
      <c r="H18" s="1">
        <v>2.25</v>
      </c>
      <c r="I18" t="s">
        <v>28</v>
      </c>
      <c r="J18" s="1">
        <v>161632.17000000001</v>
      </c>
      <c r="K18" t="s">
        <v>26</v>
      </c>
      <c r="L18">
        <v>71659</v>
      </c>
      <c r="M18" t="s">
        <v>660</v>
      </c>
      <c r="O18">
        <v>1</v>
      </c>
    </row>
    <row r="19" spans="1:18" hidden="1" x14ac:dyDescent="0.25">
      <c r="A19">
        <v>8003879954</v>
      </c>
      <c r="B19">
        <v>2</v>
      </c>
      <c r="C19">
        <v>31072017</v>
      </c>
      <c r="D19">
        <v>489</v>
      </c>
      <c r="E19" t="s">
        <v>50</v>
      </c>
      <c r="F19">
        <v>2001</v>
      </c>
      <c r="G19" t="s">
        <v>660</v>
      </c>
      <c r="H19" s="1">
        <v>37.5</v>
      </c>
      <c r="I19" t="s">
        <v>28</v>
      </c>
      <c r="J19" s="1">
        <v>161634.42000000001</v>
      </c>
      <c r="K19" t="s">
        <v>26</v>
      </c>
      <c r="L19">
        <v>71659</v>
      </c>
      <c r="M19" t="s">
        <v>660</v>
      </c>
      <c r="O19">
        <v>1</v>
      </c>
    </row>
    <row r="20" spans="1:18" hidden="1" x14ac:dyDescent="0.25">
      <c r="A20">
        <v>8003879954</v>
      </c>
      <c r="B20">
        <v>1</v>
      </c>
      <c r="C20">
        <v>31072017</v>
      </c>
      <c r="D20">
        <v>341</v>
      </c>
      <c r="E20" t="s">
        <v>51</v>
      </c>
      <c r="F20">
        <v>2001</v>
      </c>
      <c r="G20" t="s">
        <v>661</v>
      </c>
      <c r="H20" s="1">
        <v>83210.210000000006</v>
      </c>
      <c r="I20" t="s">
        <v>28</v>
      </c>
      <c r="J20" s="1">
        <v>161671.92000000001</v>
      </c>
      <c r="K20" t="s">
        <v>26</v>
      </c>
      <c r="L20">
        <v>71650</v>
      </c>
      <c r="M20" t="s">
        <v>661</v>
      </c>
      <c r="O20">
        <v>1</v>
      </c>
      <c r="Q20" t="s">
        <v>359</v>
      </c>
    </row>
    <row r="21" spans="1:18" x14ac:dyDescent="0.25">
      <c r="A21">
        <v>8003879954</v>
      </c>
      <c r="B21">
        <v>10</v>
      </c>
      <c r="C21">
        <v>28072017</v>
      </c>
      <c r="D21">
        <v>299</v>
      </c>
      <c r="E21" t="s">
        <v>30</v>
      </c>
      <c r="H21" s="1">
        <v>0.15</v>
      </c>
      <c r="I21" t="s">
        <v>28</v>
      </c>
      <c r="J21" s="1">
        <v>244882.13</v>
      </c>
      <c r="K21" t="s">
        <v>26</v>
      </c>
      <c r="L21">
        <v>5744</v>
      </c>
      <c r="M21" t="s">
        <v>53</v>
      </c>
      <c r="O21">
        <v>1</v>
      </c>
    </row>
    <row r="22" spans="1:18" hidden="1" x14ac:dyDescent="0.25">
      <c r="A22">
        <v>8003879954</v>
      </c>
      <c r="B22">
        <v>9</v>
      </c>
      <c r="C22">
        <v>28072017</v>
      </c>
      <c r="D22">
        <v>819</v>
      </c>
      <c r="E22" t="s">
        <v>32</v>
      </c>
      <c r="H22" s="1">
        <v>2.5</v>
      </c>
      <c r="I22" t="s">
        <v>28</v>
      </c>
      <c r="J22" s="1">
        <v>244882.28</v>
      </c>
      <c r="K22" t="s">
        <v>26</v>
      </c>
      <c r="L22">
        <v>5744</v>
      </c>
      <c r="M22" t="s">
        <v>53</v>
      </c>
      <c r="O22">
        <v>1</v>
      </c>
    </row>
    <row r="23" spans="1:18" hidden="1" x14ac:dyDescent="0.25">
      <c r="A23">
        <v>8003879954</v>
      </c>
      <c r="B23">
        <v>8</v>
      </c>
      <c r="C23">
        <v>28072017</v>
      </c>
      <c r="D23">
        <v>323</v>
      </c>
      <c r="E23" t="s">
        <v>33</v>
      </c>
      <c r="F23">
        <v>0</v>
      </c>
      <c r="G23" t="s">
        <v>662</v>
      </c>
      <c r="H23" s="1">
        <v>23348.5</v>
      </c>
      <c r="I23" t="s">
        <v>28</v>
      </c>
      <c r="J23" s="1">
        <v>244884.78</v>
      </c>
      <c r="K23" t="s">
        <v>26</v>
      </c>
      <c r="L23">
        <v>5652</v>
      </c>
      <c r="M23" t="s">
        <v>53</v>
      </c>
      <c r="O23">
        <v>1</v>
      </c>
    </row>
    <row r="24" spans="1:18" hidden="1" x14ac:dyDescent="0.25">
      <c r="A24">
        <v>8003879954</v>
      </c>
      <c r="B24">
        <v>7</v>
      </c>
      <c r="C24">
        <v>28072017</v>
      </c>
      <c r="D24">
        <v>323</v>
      </c>
      <c r="E24" t="s">
        <v>33</v>
      </c>
      <c r="F24">
        <v>0</v>
      </c>
      <c r="G24" t="s">
        <v>663</v>
      </c>
      <c r="H24" s="1">
        <v>34057.800000000003</v>
      </c>
      <c r="I24" t="s">
        <v>28</v>
      </c>
      <c r="J24" s="1">
        <v>268233.28000000003</v>
      </c>
      <c r="K24" t="s">
        <v>26</v>
      </c>
      <c r="L24">
        <v>5652</v>
      </c>
      <c r="M24" t="s">
        <v>53</v>
      </c>
      <c r="O24">
        <v>1</v>
      </c>
    </row>
    <row r="25" spans="1:18" hidden="1" x14ac:dyDescent="0.25">
      <c r="A25">
        <v>8003879954</v>
      </c>
      <c r="B25">
        <v>6</v>
      </c>
      <c r="C25">
        <v>28072017</v>
      </c>
      <c r="D25">
        <v>323</v>
      </c>
      <c r="E25" t="s">
        <v>33</v>
      </c>
      <c r="F25">
        <v>0</v>
      </c>
      <c r="G25" t="s">
        <v>664</v>
      </c>
      <c r="H25" s="1">
        <v>91258</v>
      </c>
      <c r="I25" t="s">
        <v>28</v>
      </c>
      <c r="J25" s="1">
        <v>302291.08</v>
      </c>
      <c r="K25" t="s">
        <v>26</v>
      </c>
      <c r="L25">
        <v>5652</v>
      </c>
      <c r="M25" t="s">
        <v>53</v>
      </c>
      <c r="O25">
        <v>1</v>
      </c>
    </row>
    <row r="26" spans="1:18" hidden="1" x14ac:dyDescent="0.25">
      <c r="A26">
        <v>8003879954</v>
      </c>
      <c r="B26">
        <v>5</v>
      </c>
      <c r="C26">
        <v>28072017</v>
      </c>
      <c r="D26">
        <v>323</v>
      </c>
      <c r="E26" t="s">
        <v>33</v>
      </c>
      <c r="F26">
        <v>0</v>
      </c>
      <c r="G26" t="s">
        <v>665</v>
      </c>
      <c r="H26" s="1">
        <v>17935.2</v>
      </c>
      <c r="I26" t="s">
        <v>28</v>
      </c>
      <c r="J26" s="1">
        <v>393549.08</v>
      </c>
      <c r="K26" t="s">
        <v>26</v>
      </c>
      <c r="L26">
        <v>5652</v>
      </c>
      <c r="M26" t="s">
        <v>53</v>
      </c>
      <c r="O26">
        <v>1</v>
      </c>
    </row>
    <row r="27" spans="1:18" hidden="1" x14ac:dyDescent="0.25">
      <c r="A27">
        <v>8003879954</v>
      </c>
      <c r="B27">
        <v>4</v>
      </c>
      <c r="C27">
        <v>28072017</v>
      </c>
      <c r="D27">
        <v>323</v>
      </c>
      <c r="E27" t="s">
        <v>33</v>
      </c>
      <c r="F27">
        <v>0</v>
      </c>
      <c r="G27" t="s">
        <v>666</v>
      </c>
      <c r="H27" s="1">
        <v>150000</v>
      </c>
      <c r="I27" t="s">
        <v>28</v>
      </c>
      <c r="J27" s="1">
        <v>411484.28</v>
      </c>
      <c r="K27" t="s">
        <v>26</v>
      </c>
      <c r="L27">
        <v>5652</v>
      </c>
      <c r="M27" t="s">
        <v>53</v>
      </c>
      <c r="O27">
        <v>1</v>
      </c>
    </row>
    <row r="28" spans="1:18" hidden="1" x14ac:dyDescent="0.25">
      <c r="A28">
        <v>8003879954</v>
      </c>
      <c r="B28">
        <v>3</v>
      </c>
      <c r="C28">
        <v>28072017</v>
      </c>
      <c r="D28">
        <v>299</v>
      </c>
      <c r="E28" t="s">
        <v>44</v>
      </c>
      <c r="F28">
        <v>72</v>
      </c>
      <c r="G28" t="s">
        <v>667</v>
      </c>
      <c r="H28" s="1">
        <v>0.6</v>
      </c>
      <c r="I28" t="s">
        <v>28</v>
      </c>
      <c r="J28" s="1">
        <v>561484.28</v>
      </c>
      <c r="K28" t="s">
        <v>26</v>
      </c>
      <c r="L28">
        <v>160416</v>
      </c>
      <c r="M28" t="s">
        <v>668</v>
      </c>
      <c r="O28">
        <v>1</v>
      </c>
    </row>
    <row r="29" spans="1:18" hidden="1" x14ac:dyDescent="0.25">
      <c r="A29">
        <v>8003879954</v>
      </c>
      <c r="B29">
        <v>2</v>
      </c>
      <c r="C29">
        <v>28072017</v>
      </c>
      <c r="D29">
        <v>415</v>
      </c>
      <c r="E29" t="s">
        <v>34</v>
      </c>
      <c r="F29">
        <v>72</v>
      </c>
      <c r="G29" t="s">
        <v>667</v>
      </c>
      <c r="H29" s="1">
        <v>10</v>
      </c>
      <c r="I29" t="s">
        <v>28</v>
      </c>
      <c r="J29" s="1">
        <v>561484.88</v>
      </c>
      <c r="K29" t="s">
        <v>26</v>
      </c>
      <c r="L29">
        <v>160416</v>
      </c>
      <c r="M29" t="s">
        <v>668</v>
      </c>
      <c r="O29">
        <v>1</v>
      </c>
    </row>
    <row r="30" spans="1:18" hidden="1" x14ac:dyDescent="0.25">
      <c r="A30">
        <v>8003879954</v>
      </c>
      <c r="B30">
        <v>1</v>
      </c>
      <c r="C30">
        <v>28072017</v>
      </c>
      <c r="D30">
        <v>349</v>
      </c>
      <c r="E30" t="s">
        <v>35</v>
      </c>
      <c r="F30">
        <v>72</v>
      </c>
      <c r="G30" t="s">
        <v>667</v>
      </c>
      <c r="H30" s="1">
        <v>159195.03</v>
      </c>
      <c r="I30" t="s">
        <v>28</v>
      </c>
      <c r="J30" s="1">
        <v>561494.88</v>
      </c>
      <c r="K30" t="s">
        <v>26</v>
      </c>
      <c r="L30">
        <v>160416</v>
      </c>
      <c r="M30" t="s">
        <v>668</v>
      </c>
      <c r="O30">
        <v>1</v>
      </c>
    </row>
    <row r="31" spans="1:18" hidden="1" x14ac:dyDescent="0.25">
      <c r="A31">
        <v>8003879954</v>
      </c>
      <c r="B31">
        <v>2</v>
      </c>
      <c r="C31">
        <v>26072017</v>
      </c>
      <c r="D31">
        <v>5</v>
      </c>
      <c r="E31" t="s">
        <v>42</v>
      </c>
      <c r="H31" s="1">
        <v>520000</v>
      </c>
      <c r="I31" t="s">
        <v>26</v>
      </c>
      <c r="J31" s="1">
        <v>720689.91</v>
      </c>
      <c r="K31" s="7"/>
      <c r="L31">
        <v>151114</v>
      </c>
      <c r="M31" t="s">
        <v>564</v>
      </c>
      <c r="O31">
        <v>1</v>
      </c>
      <c r="P31" t="s">
        <v>565</v>
      </c>
      <c r="Q31" t="s">
        <v>59</v>
      </c>
      <c r="R31" t="s">
        <v>60</v>
      </c>
    </row>
    <row r="32" spans="1:18" hidden="1" x14ac:dyDescent="0.25">
      <c r="A32">
        <v>8003879954</v>
      </c>
      <c r="B32">
        <v>1</v>
      </c>
      <c r="C32">
        <v>26072017</v>
      </c>
      <c r="D32">
        <v>102</v>
      </c>
      <c r="E32" t="s">
        <v>46</v>
      </c>
      <c r="F32">
        <v>9815</v>
      </c>
      <c r="G32" t="s">
        <v>566</v>
      </c>
      <c r="H32" s="1">
        <v>1000</v>
      </c>
      <c r="I32" t="s">
        <v>26</v>
      </c>
      <c r="J32" s="1">
        <v>200689.91</v>
      </c>
      <c r="K32" t="s">
        <v>26</v>
      </c>
      <c r="L32">
        <v>102241</v>
      </c>
      <c r="M32" t="s">
        <v>53</v>
      </c>
      <c r="O32">
        <v>1</v>
      </c>
    </row>
    <row r="33" spans="1:17" hidden="1" x14ac:dyDescent="0.25">
      <c r="A33">
        <v>8003879954</v>
      </c>
      <c r="B33">
        <v>54</v>
      </c>
      <c r="C33">
        <v>25072017</v>
      </c>
      <c r="D33">
        <v>123</v>
      </c>
      <c r="E33" t="s">
        <v>38</v>
      </c>
      <c r="F33">
        <v>2007</v>
      </c>
      <c r="G33" t="s">
        <v>567</v>
      </c>
      <c r="H33" s="1">
        <v>5000</v>
      </c>
      <c r="I33" t="s">
        <v>26</v>
      </c>
      <c r="J33" s="1">
        <v>199689.91</v>
      </c>
      <c r="K33" t="s">
        <v>26</v>
      </c>
      <c r="L33">
        <v>220925</v>
      </c>
      <c r="M33" t="s">
        <v>53</v>
      </c>
      <c r="O33">
        <v>1</v>
      </c>
    </row>
    <row r="34" spans="1:17" hidden="1" x14ac:dyDescent="0.25">
      <c r="A34">
        <v>8003879954</v>
      </c>
      <c r="B34">
        <v>53</v>
      </c>
      <c r="C34">
        <v>25072017</v>
      </c>
      <c r="D34">
        <v>123</v>
      </c>
      <c r="E34" t="s">
        <v>38</v>
      </c>
      <c r="F34">
        <v>2007</v>
      </c>
      <c r="G34" t="s">
        <v>568</v>
      </c>
      <c r="H34" s="1">
        <v>3000</v>
      </c>
      <c r="I34" t="s">
        <v>26</v>
      </c>
      <c r="J34" s="1">
        <v>194689.91</v>
      </c>
      <c r="K34" t="s">
        <v>26</v>
      </c>
      <c r="L34">
        <v>220925</v>
      </c>
      <c r="M34" t="s">
        <v>53</v>
      </c>
      <c r="O34">
        <v>1</v>
      </c>
    </row>
    <row r="35" spans="1:17" hidden="1" x14ac:dyDescent="0.25">
      <c r="A35">
        <v>8003879954</v>
      </c>
      <c r="B35">
        <v>52</v>
      </c>
      <c r="C35">
        <v>25072017</v>
      </c>
      <c r="D35">
        <v>121</v>
      </c>
      <c r="E35" t="s">
        <v>25</v>
      </c>
      <c r="F35">
        <v>2007</v>
      </c>
      <c r="G35" t="s">
        <v>569</v>
      </c>
      <c r="H35" s="1">
        <v>2000</v>
      </c>
      <c r="I35" t="s">
        <v>26</v>
      </c>
      <c r="J35" s="1">
        <v>191689.91</v>
      </c>
      <c r="K35" t="s">
        <v>26</v>
      </c>
      <c r="L35">
        <v>190852</v>
      </c>
      <c r="M35" t="s">
        <v>53</v>
      </c>
      <c r="O35">
        <v>1</v>
      </c>
    </row>
    <row r="36" spans="1:17" hidden="1" x14ac:dyDescent="0.25">
      <c r="A36">
        <v>8003879954</v>
      </c>
      <c r="B36">
        <v>51</v>
      </c>
      <c r="C36">
        <v>25072017</v>
      </c>
      <c r="D36">
        <v>123</v>
      </c>
      <c r="E36" t="s">
        <v>38</v>
      </c>
      <c r="F36">
        <v>2007</v>
      </c>
      <c r="G36" t="s">
        <v>570</v>
      </c>
      <c r="H36" s="1">
        <v>3000</v>
      </c>
      <c r="I36" t="s">
        <v>26</v>
      </c>
      <c r="J36" s="1">
        <v>189689.91</v>
      </c>
      <c r="K36" t="s">
        <v>26</v>
      </c>
      <c r="L36">
        <v>190852</v>
      </c>
      <c r="M36" t="s">
        <v>53</v>
      </c>
      <c r="O36">
        <v>1</v>
      </c>
    </row>
    <row r="37" spans="1:17" hidden="1" x14ac:dyDescent="0.25">
      <c r="A37">
        <v>8003879954</v>
      </c>
      <c r="B37">
        <v>50</v>
      </c>
      <c r="C37">
        <v>25072017</v>
      </c>
      <c r="D37">
        <v>341</v>
      </c>
      <c r="E37" t="s">
        <v>29</v>
      </c>
      <c r="F37">
        <v>9938</v>
      </c>
      <c r="G37" t="s">
        <v>571</v>
      </c>
      <c r="H37" s="1">
        <v>776.84</v>
      </c>
      <c r="I37" t="s">
        <v>28</v>
      </c>
      <c r="J37" s="1">
        <v>186689.91</v>
      </c>
      <c r="K37" t="s">
        <v>26</v>
      </c>
      <c r="L37">
        <v>180803</v>
      </c>
      <c r="M37" t="s">
        <v>572</v>
      </c>
      <c r="O37">
        <v>1</v>
      </c>
      <c r="P37" t="s">
        <v>573</v>
      </c>
      <c r="Q37" t="s">
        <v>574</v>
      </c>
    </row>
    <row r="38" spans="1:17" x14ac:dyDescent="0.25">
      <c r="A38">
        <v>8003879954</v>
      </c>
      <c r="B38">
        <v>49</v>
      </c>
      <c r="C38">
        <v>25072017</v>
      </c>
      <c r="D38">
        <v>299</v>
      </c>
      <c r="E38" t="s">
        <v>30</v>
      </c>
      <c r="F38">
        <v>9938</v>
      </c>
      <c r="G38" t="s">
        <v>571</v>
      </c>
      <c r="H38" s="1">
        <v>0.01</v>
      </c>
      <c r="I38" t="s">
        <v>28</v>
      </c>
      <c r="J38" s="1">
        <v>187466.75</v>
      </c>
      <c r="K38" t="s">
        <v>26</v>
      </c>
      <c r="L38">
        <v>180803</v>
      </c>
      <c r="M38" t="s">
        <v>575</v>
      </c>
      <c r="O38">
        <v>1</v>
      </c>
    </row>
    <row r="39" spans="1:17" hidden="1" x14ac:dyDescent="0.25">
      <c r="A39">
        <v>8003879954</v>
      </c>
      <c r="B39">
        <v>48</v>
      </c>
      <c r="C39">
        <v>25072017</v>
      </c>
      <c r="D39">
        <v>489</v>
      </c>
      <c r="E39" t="s">
        <v>31</v>
      </c>
      <c r="F39">
        <v>9938</v>
      </c>
      <c r="G39" t="s">
        <v>571</v>
      </c>
      <c r="H39" s="1">
        <v>0.1</v>
      </c>
      <c r="I39" t="s">
        <v>28</v>
      </c>
      <c r="J39" s="1">
        <v>187466.76</v>
      </c>
      <c r="K39" t="s">
        <v>26</v>
      </c>
      <c r="L39">
        <v>180803</v>
      </c>
      <c r="M39" t="s">
        <v>575</v>
      </c>
      <c r="O39">
        <v>1</v>
      </c>
    </row>
    <row r="40" spans="1:17" hidden="1" x14ac:dyDescent="0.25">
      <c r="A40">
        <v>8003879954</v>
      </c>
      <c r="B40">
        <v>47</v>
      </c>
      <c r="C40">
        <v>25072017</v>
      </c>
      <c r="D40">
        <v>341</v>
      </c>
      <c r="E40" t="s">
        <v>29</v>
      </c>
      <c r="F40">
        <v>9938</v>
      </c>
      <c r="G40" t="s">
        <v>576</v>
      </c>
      <c r="H40" s="1">
        <v>1818</v>
      </c>
      <c r="I40" t="s">
        <v>28</v>
      </c>
      <c r="J40" s="1">
        <v>187466.86</v>
      </c>
      <c r="K40" t="s">
        <v>26</v>
      </c>
      <c r="L40">
        <v>180803</v>
      </c>
      <c r="M40" t="s">
        <v>577</v>
      </c>
      <c r="O40">
        <v>1</v>
      </c>
      <c r="P40" t="s">
        <v>578</v>
      </c>
      <c r="Q40" t="s">
        <v>579</v>
      </c>
    </row>
    <row r="41" spans="1:17" x14ac:dyDescent="0.25">
      <c r="A41">
        <v>8003879954</v>
      </c>
      <c r="B41">
        <v>46</v>
      </c>
      <c r="C41">
        <v>25072017</v>
      </c>
      <c r="D41">
        <v>299</v>
      </c>
      <c r="E41" t="s">
        <v>30</v>
      </c>
      <c r="F41">
        <v>9938</v>
      </c>
      <c r="G41" t="s">
        <v>576</v>
      </c>
      <c r="H41" s="1">
        <v>0.01</v>
      </c>
      <c r="I41" t="s">
        <v>28</v>
      </c>
      <c r="J41" s="1">
        <v>189284.86</v>
      </c>
      <c r="K41" t="s">
        <v>26</v>
      </c>
      <c r="L41">
        <v>180803</v>
      </c>
      <c r="M41" t="s">
        <v>580</v>
      </c>
      <c r="O41">
        <v>1</v>
      </c>
    </row>
    <row r="42" spans="1:17" hidden="1" x14ac:dyDescent="0.25">
      <c r="A42">
        <v>8003879954</v>
      </c>
      <c r="B42">
        <v>45</v>
      </c>
      <c r="C42">
        <v>25072017</v>
      </c>
      <c r="D42">
        <v>489</v>
      </c>
      <c r="E42" t="s">
        <v>31</v>
      </c>
      <c r="F42">
        <v>9938</v>
      </c>
      <c r="G42" t="s">
        <v>576</v>
      </c>
      <c r="H42" s="1">
        <v>0.1</v>
      </c>
      <c r="I42" t="s">
        <v>28</v>
      </c>
      <c r="J42" s="1">
        <v>189284.87</v>
      </c>
      <c r="K42" t="s">
        <v>26</v>
      </c>
      <c r="L42">
        <v>180803</v>
      </c>
      <c r="M42" t="s">
        <v>580</v>
      </c>
      <c r="O42">
        <v>1</v>
      </c>
    </row>
    <row r="43" spans="1:17" hidden="1" x14ac:dyDescent="0.25">
      <c r="A43">
        <v>8003879954</v>
      </c>
      <c r="B43">
        <v>44</v>
      </c>
      <c r="C43">
        <v>25072017</v>
      </c>
      <c r="D43">
        <v>345</v>
      </c>
      <c r="E43" t="s">
        <v>27</v>
      </c>
      <c r="F43">
        <v>9938</v>
      </c>
      <c r="G43" t="s">
        <v>581</v>
      </c>
      <c r="H43" s="1">
        <v>3127.45</v>
      </c>
      <c r="I43" t="s">
        <v>28</v>
      </c>
      <c r="J43" s="1">
        <v>189284.97</v>
      </c>
      <c r="K43" t="s">
        <v>26</v>
      </c>
      <c r="L43">
        <v>180803</v>
      </c>
      <c r="M43" t="s">
        <v>582</v>
      </c>
      <c r="O43">
        <v>1</v>
      </c>
      <c r="P43" t="s">
        <v>583</v>
      </c>
      <c r="Q43" t="s">
        <v>74</v>
      </c>
    </row>
    <row r="44" spans="1:17" hidden="1" x14ac:dyDescent="0.25">
      <c r="A44">
        <v>8003879954</v>
      </c>
      <c r="B44">
        <v>43</v>
      </c>
      <c r="C44">
        <v>25072017</v>
      </c>
      <c r="D44">
        <v>341</v>
      </c>
      <c r="E44" t="s">
        <v>29</v>
      </c>
      <c r="F44">
        <v>9938</v>
      </c>
      <c r="G44" t="s">
        <v>584</v>
      </c>
      <c r="H44" s="1">
        <v>65</v>
      </c>
      <c r="I44" t="s">
        <v>28</v>
      </c>
      <c r="J44" s="1">
        <v>192412.42</v>
      </c>
      <c r="K44" t="s">
        <v>26</v>
      </c>
      <c r="L44">
        <v>180803</v>
      </c>
      <c r="M44" t="s">
        <v>79</v>
      </c>
      <c r="O44">
        <v>1</v>
      </c>
      <c r="P44" t="s">
        <v>585</v>
      </c>
      <c r="Q44" t="s">
        <v>586</v>
      </c>
    </row>
    <row r="45" spans="1:17" x14ac:dyDescent="0.25">
      <c r="A45">
        <v>8003879954</v>
      </c>
      <c r="B45">
        <v>42</v>
      </c>
      <c r="C45">
        <v>25072017</v>
      </c>
      <c r="D45">
        <v>299</v>
      </c>
      <c r="E45" t="s">
        <v>30</v>
      </c>
      <c r="F45">
        <v>9938</v>
      </c>
      <c r="G45" t="s">
        <v>584</v>
      </c>
      <c r="H45" s="1">
        <v>0.01</v>
      </c>
      <c r="I45" t="s">
        <v>28</v>
      </c>
      <c r="J45" s="1">
        <v>192477.42</v>
      </c>
      <c r="K45" t="s">
        <v>26</v>
      </c>
      <c r="L45">
        <v>180803</v>
      </c>
      <c r="M45" t="s">
        <v>587</v>
      </c>
      <c r="O45">
        <v>1</v>
      </c>
    </row>
    <row r="46" spans="1:17" hidden="1" x14ac:dyDescent="0.25">
      <c r="A46">
        <v>8003879954</v>
      </c>
      <c r="B46">
        <v>41</v>
      </c>
      <c r="C46">
        <v>25072017</v>
      </c>
      <c r="D46">
        <v>489</v>
      </c>
      <c r="E46" t="s">
        <v>31</v>
      </c>
      <c r="F46">
        <v>9938</v>
      </c>
      <c r="G46" t="s">
        <v>584</v>
      </c>
      <c r="H46" s="1">
        <v>0.1</v>
      </c>
      <c r="I46" t="s">
        <v>28</v>
      </c>
      <c r="J46" s="1">
        <v>192477.43</v>
      </c>
      <c r="K46" t="s">
        <v>26</v>
      </c>
      <c r="L46">
        <v>180803</v>
      </c>
      <c r="M46" t="s">
        <v>587</v>
      </c>
      <c r="O46">
        <v>1</v>
      </c>
    </row>
    <row r="47" spans="1:17" hidden="1" x14ac:dyDescent="0.25">
      <c r="A47">
        <v>8003879954</v>
      </c>
      <c r="B47">
        <v>40</v>
      </c>
      <c r="C47">
        <v>25072017</v>
      </c>
      <c r="D47">
        <v>345</v>
      </c>
      <c r="E47" t="s">
        <v>27</v>
      </c>
      <c r="F47">
        <v>9938</v>
      </c>
      <c r="G47" t="s">
        <v>588</v>
      </c>
      <c r="H47" s="1">
        <v>3109.28</v>
      </c>
      <c r="I47" t="s">
        <v>28</v>
      </c>
      <c r="J47" s="1">
        <v>192477.53</v>
      </c>
      <c r="K47" t="s">
        <v>26</v>
      </c>
      <c r="L47">
        <v>180802</v>
      </c>
      <c r="M47" t="s">
        <v>589</v>
      </c>
      <c r="O47">
        <v>1</v>
      </c>
      <c r="P47" t="s">
        <v>590</v>
      </c>
      <c r="Q47" t="s">
        <v>74</v>
      </c>
    </row>
    <row r="48" spans="1:17" hidden="1" x14ac:dyDescent="0.25">
      <c r="A48">
        <v>8003879954</v>
      </c>
      <c r="B48">
        <v>39</v>
      </c>
      <c r="C48">
        <v>25072017</v>
      </c>
      <c r="D48">
        <v>341</v>
      </c>
      <c r="E48" t="s">
        <v>29</v>
      </c>
      <c r="F48">
        <v>9938</v>
      </c>
      <c r="G48" t="s">
        <v>591</v>
      </c>
      <c r="H48" s="1">
        <v>7600</v>
      </c>
      <c r="I48" t="s">
        <v>28</v>
      </c>
      <c r="J48" s="1">
        <v>195586.81</v>
      </c>
      <c r="K48" t="s">
        <v>26</v>
      </c>
      <c r="L48">
        <v>180802</v>
      </c>
      <c r="M48" t="s">
        <v>218</v>
      </c>
      <c r="O48">
        <v>1</v>
      </c>
      <c r="P48" t="s">
        <v>592</v>
      </c>
      <c r="Q48" t="s">
        <v>593</v>
      </c>
    </row>
    <row r="49" spans="1:17" x14ac:dyDescent="0.25">
      <c r="A49">
        <v>8003879954</v>
      </c>
      <c r="B49">
        <v>38</v>
      </c>
      <c r="C49">
        <v>25072017</v>
      </c>
      <c r="D49">
        <v>299</v>
      </c>
      <c r="E49" t="s">
        <v>30</v>
      </c>
      <c r="F49">
        <v>9938</v>
      </c>
      <c r="G49" t="s">
        <v>591</v>
      </c>
      <c r="H49" s="1">
        <v>0.01</v>
      </c>
      <c r="I49" t="s">
        <v>28</v>
      </c>
      <c r="J49" s="1">
        <v>203186.81</v>
      </c>
      <c r="K49" t="s">
        <v>26</v>
      </c>
      <c r="L49">
        <v>180802</v>
      </c>
      <c r="M49" t="s">
        <v>594</v>
      </c>
      <c r="O49">
        <v>1</v>
      </c>
    </row>
    <row r="50" spans="1:17" hidden="1" x14ac:dyDescent="0.25">
      <c r="A50">
        <v>8003879954</v>
      </c>
      <c r="B50">
        <v>37</v>
      </c>
      <c r="C50">
        <v>25072017</v>
      </c>
      <c r="D50">
        <v>489</v>
      </c>
      <c r="E50" t="s">
        <v>31</v>
      </c>
      <c r="F50">
        <v>9938</v>
      </c>
      <c r="G50" t="s">
        <v>591</v>
      </c>
      <c r="H50" s="1">
        <v>0.1</v>
      </c>
      <c r="I50" t="s">
        <v>28</v>
      </c>
      <c r="J50" s="1">
        <v>203186.82</v>
      </c>
      <c r="K50" t="s">
        <v>26</v>
      </c>
      <c r="L50">
        <v>180802</v>
      </c>
      <c r="M50" t="s">
        <v>594</v>
      </c>
      <c r="O50">
        <v>1</v>
      </c>
    </row>
    <row r="51" spans="1:17" hidden="1" x14ac:dyDescent="0.25">
      <c r="A51">
        <v>8003879954</v>
      </c>
      <c r="B51">
        <v>36</v>
      </c>
      <c r="C51">
        <v>25072017</v>
      </c>
      <c r="D51">
        <v>60</v>
      </c>
      <c r="E51" t="s">
        <v>43</v>
      </c>
      <c r="F51">
        <v>9938</v>
      </c>
      <c r="G51" t="s">
        <v>595</v>
      </c>
      <c r="H51" s="1">
        <v>180</v>
      </c>
      <c r="I51" t="s">
        <v>28</v>
      </c>
      <c r="J51" s="1">
        <v>203186.92</v>
      </c>
      <c r="K51" t="s">
        <v>26</v>
      </c>
      <c r="L51">
        <v>180802</v>
      </c>
      <c r="M51" t="s">
        <v>596</v>
      </c>
      <c r="O51">
        <v>1</v>
      </c>
      <c r="P51" t="s">
        <v>597</v>
      </c>
      <c r="Q51" t="s">
        <v>598</v>
      </c>
    </row>
    <row r="52" spans="1:17" hidden="1" x14ac:dyDescent="0.25">
      <c r="A52">
        <v>8003879954</v>
      </c>
      <c r="B52">
        <v>35</v>
      </c>
      <c r="C52">
        <v>25072017</v>
      </c>
      <c r="D52">
        <v>60</v>
      </c>
      <c r="E52" t="s">
        <v>43</v>
      </c>
      <c r="F52">
        <v>9938</v>
      </c>
      <c r="G52" t="s">
        <v>599</v>
      </c>
      <c r="H52" s="1">
        <v>641.29999999999995</v>
      </c>
      <c r="I52" t="s">
        <v>28</v>
      </c>
      <c r="J52" s="1">
        <v>203366.92</v>
      </c>
      <c r="K52" t="s">
        <v>26</v>
      </c>
      <c r="L52">
        <v>180802</v>
      </c>
      <c r="M52" t="s">
        <v>600</v>
      </c>
      <c r="O52">
        <v>1</v>
      </c>
      <c r="P52" t="s">
        <v>601</v>
      </c>
      <c r="Q52" t="s">
        <v>602</v>
      </c>
    </row>
    <row r="53" spans="1:17" hidden="1" x14ac:dyDescent="0.25">
      <c r="A53">
        <v>8003879954</v>
      </c>
      <c r="B53">
        <v>34</v>
      </c>
      <c r="C53">
        <v>25072017</v>
      </c>
      <c r="D53">
        <v>341</v>
      </c>
      <c r="E53" t="s">
        <v>29</v>
      </c>
      <c r="F53">
        <v>9938</v>
      </c>
      <c r="G53" t="s">
        <v>603</v>
      </c>
      <c r="H53" s="1">
        <v>18</v>
      </c>
      <c r="I53" t="s">
        <v>28</v>
      </c>
      <c r="J53" s="1">
        <v>204008.22</v>
      </c>
      <c r="K53" t="s">
        <v>26</v>
      </c>
      <c r="L53">
        <v>180538</v>
      </c>
      <c r="M53" t="s">
        <v>604</v>
      </c>
      <c r="O53">
        <v>1</v>
      </c>
      <c r="P53" t="s">
        <v>605</v>
      </c>
    </row>
    <row r="54" spans="1:17" x14ac:dyDescent="0.25">
      <c r="A54">
        <v>8003879954</v>
      </c>
      <c r="B54">
        <v>33</v>
      </c>
      <c r="C54">
        <v>25072017</v>
      </c>
      <c r="D54">
        <v>299</v>
      </c>
      <c r="E54" t="s">
        <v>30</v>
      </c>
      <c r="F54">
        <v>9938</v>
      </c>
      <c r="G54" t="s">
        <v>603</v>
      </c>
      <c r="H54" s="1">
        <v>0.01</v>
      </c>
      <c r="I54" t="s">
        <v>28</v>
      </c>
      <c r="J54" s="1">
        <v>204026.22</v>
      </c>
      <c r="K54" t="s">
        <v>26</v>
      </c>
      <c r="L54">
        <v>180538</v>
      </c>
      <c r="M54" t="s">
        <v>605</v>
      </c>
      <c r="O54">
        <v>1</v>
      </c>
    </row>
    <row r="55" spans="1:17" hidden="1" x14ac:dyDescent="0.25">
      <c r="A55">
        <v>8003879954</v>
      </c>
      <c r="B55">
        <v>32</v>
      </c>
      <c r="C55">
        <v>25072017</v>
      </c>
      <c r="D55">
        <v>489</v>
      </c>
      <c r="E55" t="s">
        <v>31</v>
      </c>
      <c r="F55">
        <v>9938</v>
      </c>
      <c r="G55" t="s">
        <v>603</v>
      </c>
      <c r="H55" s="1">
        <v>0.1</v>
      </c>
      <c r="I55" t="s">
        <v>28</v>
      </c>
      <c r="J55" s="1">
        <v>204026.23</v>
      </c>
      <c r="K55" t="s">
        <v>26</v>
      </c>
      <c r="L55">
        <v>180538</v>
      </c>
      <c r="M55" t="s">
        <v>605</v>
      </c>
      <c r="O55">
        <v>1</v>
      </c>
    </row>
    <row r="56" spans="1:17" hidden="1" x14ac:dyDescent="0.25">
      <c r="A56">
        <v>8003879954</v>
      </c>
      <c r="B56">
        <v>31</v>
      </c>
      <c r="C56">
        <v>25072017</v>
      </c>
      <c r="D56">
        <v>341</v>
      </c>
      <c r="E56" t="s">
        <v>29</v>
      </c>
      <c r="F56">
        <v>9938</v>
      </c>
      <c r="G56" t="s">
        <v>606</v>
      </c>
      <c r="H56" s="1">
        <v>14</v>
      </c>
      <c r="I56" t="s">
        <v>28</v>
      </c>
      <c r="J56" s="1">
        <v>204026.33</v>
      </c>
      <c r="K56" t="s">
        <v>26</v>
      </c>
      <c r="L56">
        <v>180537</v>
      </c>
      <c r="M56" t="s">
        <v>265</v>
      </c>
      <c r="O56">
        <v>1</v>
      </c>
      <c r="P56" t="s">
        <v>607</v>
      </c>
      <c r="Q56" t="s">
        <v>608</v>
      </c>
    </row>
    <row r="57" spans="1:17" x14ac:dyDescent="0.25">
      <c r="A57">
        <v>8003879954</v>
      </c>
      <c r="B57">
        <v>30</v>
      </c>
      <c r="C57">
        <v>25072017</v>
      </c>
      <c r="D57">
        <v>299</v>
      </c>
      <c r="E57" t="s">
        <v>30</v>
      </c>
      <c r="F57">
        <v>9938</v>
      </c>
      <c r="G57" t="s">
        <v>606</v>
      </c>
      <c r="H57" s="1">
        <v>0.01</v>
      </c>
      <c r="I57" t="s">
        <v>28</v>
      </c>
      <c r="J57" s="1">
        <v>204040.33</v>
      </c>
      <c r="K57" t="s">
        <v>26</v>
      </c>
      <c r="L57">
        <v>180537</v>
      </c>
      <c r="M57" t="s">
        <v>609</v>
      </c>
      <c r="O57">
        <v>1</v>
      </c>
    </row>
    <row r="58" spans="1:17" hidden="1" x14ac:dyDescent="0.25">
      <c r="A58">
        <v>8003879954</v>
      </c>
      <c r="B58">
        <v>29</v>
      </c>
      <c r="C58">
        <v>25072017</v>
      </c>
      <c r="D58">
        <v>489</v>
      </c>
      <c r="E58" t="s">
        <v>31</v>
      </c>
      <c r="F58">
        <v>9938</v>
      </c>
      <c r="G58" t="s">
        <v>606</v>
      </c>
      <c r="H58" s="1">
        <v>0.1</v>
      </c>
      <c r="I58" t="s">
        <v>28</v>
      </c>
      <c r="J58" s="1">
        <v>204040.34</v>
      </c>
      <c r="K58" t="s">
        <v>26</v>
      </c>
      <c r="L58">
        <v>180537</v>
      </c>
      <c r="M58" t="s">
        <v>609</v>
      </c>
      <c r="O58">
        <v>1</v>
      </c>
    </row>
    <row r="59" spans="1:17" hidden="1" x14ac:dyDescent="0.25">
      <c r="A59">
        <v>8003879954</v>
      </c>
      <c r="B59">
        <v>28</v>
      </c>
      <c r="C59">
        <v>25072017</v>
      </c>
      <c r="D59">
        <v>341</v>
      </c>
      <c r="E59" t="s">
        <v>29</v>
      </c>
      <c r="F59">
        <v>9938</v>
      </c>
      <c r="G59" t="s">
        <v>610</v>
      </c>
      <c r="H59" s="1">
        <v>180</v>
      </c>
      <c r="I59" t="s">
        <v>28</v>
      </c>
      <c r="J59" s="1">
        <v>204040.44</v>
      </c>
      <c r="K59" t="s">
        <v>26</v>
      </c>
      <c r="L59">
        <v>180534</v>
      </c>
      <c r="M59" t="s">
        <v>611</v>
      </c>
      <c r="O59">
        <v>1</v>
      </c>
      <c r="P59" t="s">
        <v>612</v>
      </c>
      <c r="Q59" t="s">
        <v>613</v>
      </c>
    </row>
    <row r="60" spans="1:17" x14ac:dyDescent="0.25">
      <c r="A60">
        <v>8003879954</v>
      </c>
      <c r="B60">
        <v>27</v>
      </c>
      <c r="C60">
        <v>25072017</v>
      </c>
      <c r="D60">
        <v>299</v>
      </c>
      <c r="E60" t="s">
        <v>30</v>
      </c>
      <c r="F60">
        <v>9938</v>
      </c>
      <c r="G60" t="s">
        <v>610</v>
      </c>
      <c r="H60" s="1">
        <v>0.01</v>
      </c>
      <c r="I60" t="s">
        <v>28</v>
      </c>
      <c r="J60" s="1">
        <v>204220.44</v>
      </c>
      <c r="K60" t="s">
        <v>26</v>
      </c>
      <c r="L60">
        <v>180534</v>
      </c>
      <c r="M60" t="s">
        <v>614</v>
      </c>
      <c r="O60">
        <v>1</v>
      </c>
    </row>
    <row r="61" spans="1:17" hidden="1" x14ac:dyDescent="0.25">
      <c r="A61">
        <v>8003879954</v>
      </c>
      <c r="B61">
        <v>26</v>
      </c>
      <c r="C61">
        <v>25072017</v>
      </c>
      <c r="D61">
        <v>489</v>
      </c>
      <c r="E61" t="s">
        <v>31</v>
      </c>
      <c r="F61">
        <v>9938</v>
      </c>
      <c r="G61" t="s">
        <v>610</v>
      </c>
      <c r="H61" s="1">
        <v>0.1</v>
      </c>
      <c r="I61" t="s">
        <v>28</v>
      </c>
      <c r="J61" s="1">
        <v>204220.45</v>
      </c>
      <c r="K61" t="s">
        <v>26</v>
      </c>
      <c r="L61">
        <v>180534</v>
      </c>
      <c r="M61" t="s">
        <v>614</v>
      </c>
      <c r="O61">
        <v>1</v>
      </c>
    </row>
    <row r="62" spans="1:17" hidden="1" x14ac:dyDescent="0.25">
      <c r="A62">
        <v>8003879954</v>
      </c>
      <c r="B62">
        <v>25</v>
      </c>
      <c r="C62">
        <v>25072017</v>
      </c>
      <c r="D62">
        <v>341</v>
      </c>
      <c r="E62" t="s">
        <v>29</v>
      </c>
      <c r="F62">
        <v>9938</v>
      </c>
      <c r="G62" t="s">
        <v>615</v>
      </c>
      <c r="H62" s="1">
        <v>107.2</v>
      </c>
      <c r="I62" t="s">
        <v>28</v>
      </c>
      <c r="J62" s="1">
        <v>204220.55</v>
      </c>
      <c r="K62" t="s">
        <v>26</v>
      </c>
      <c r="L62">
        <v>180536</v>
      </c>
      <c r="M62" t="s">
        <v>109</v>
      </c>
      <c r="O62">
        <v>1</v>
      </c>
      <c r="P62" t="s">
        <v>616</v>
      </c>
      <c r="Q62" t="s">
        <v>617</v>
      </c>
    </row>
    <row r="63" spans="1:17" x14ac:dyDescent="0.25">
      <c r="A63">
        <v>8003879954</v>
      </c>
      <c r="B63">
        <v>24</v>
      </c>
      <c r="C63">
        <v>25072017</v>
      </c>
      <c r="D63">
        <v>299</v>
      </c>
      <c r="E63" t="s">
        <v>30</v>
      </c>
      <c r="F63">
        <v>9938</v>
      </c>
      <c r="G63" t="s">
        <v>615</v>
      </c>
      <c r="H63" s="1">
        <v>0.01</v>
      </c>
      <c r="I63" t="s">
        <v>28</v>
      </c>
      <c r="J63" s="1">
        <v>204327.75</v>
      </c>
      <c r="K63" t="s">
        <v>26</v>
      </c>
      <c r="L63">
        <v>180536</v>
      </c>
      <c r="M63" t="s">
        <v>618</v>
      </c>
      <c r="O63">
        <v>1</v>
      </c>
    </row>
    <row r="64" spans="1:17" hidden="1" x14ac:dyDescent="0.25">
      <c r="A64">
        <v>8003879954</v>
      </c>
      <c r="B64">
        <v>23</v>
      </c>
      <c r="C64">
        <v>25072017</v>
      </c>
      <c r="D64">
        <v>489</v>
      </c>
      <c r="E64" t="s">
        <v>31</v>
      </c>
      <c r="F64">
        <v>9938</v>
      </c>
      <c r="G64" t="s">
        <v>615</v>
      </c>
      <c r="H64" s="1">
        <v>0.1</v>
      </c>
      <c r="I64" t="s">
        <v>28</v>
      </c>
      <c r="J64" s="1">
        <v>204327.76</v>
      </c>
      <c r="K64" t="s">
        <v>26</v>
      </c>
      <c r="L64">
        <v>180536</v>
      </c>
      <c r="M64" t="s">
        <v>618</v>
      </c>
      <c r="O64">
        <v>1</v>
      </c>
    </row>
    <row r="65" spans="1:17" hidden="1" x14ac:dyDescent="0.25">
      <c r="A65">
        <v>8003879954</v>
      </c>
      <c r="B65">
        <v>22</v>
      </c>
      <c r="C65">
        <v>25072017</v>
      </c>
      <c r="D65">
        <v>341</v>
      </c>
      <c r="E65" t="s">
        <v>29</v>
      </c>
      <c r="F65">
        <v>9938</v>
      </c>
      <c r="G65" t="s">
        <v>619</v>
      </c>
      <c r="H65" s="1">
        <v>36.4</v>
      </c>
      <c r="I65" t="s">
        <v>28</v>
      </c>
      <c r="J65" s="1">
        <v>204327.86</v>
      </c>
      <c r="K65" t="s">
        <v>26</v>
      </c>
      <c r="L65">
        <v>180536</v>
      </c>
      <c r="M65" t="s">
        <v>620</v>
      </c>
      <c r="O65">
        <v>1</v>
      </c>
      <c r="P65" t="s">
        <v>621</v>
      </c>
      <c r="Q65" t="s">
        <v>622</v>
      </c>
    </row>
    <row r="66" spans="1:17" x14ac:dyDescent="0.25">
      <c r="A66">
        <v>8003879954</v>
      </c>
      <c r="B66">
        <v>21</v>
      </c>
      <c r="C66">
        <v>25072017</v>
      </c>
      <c r="D66">
        <v>299</v>
      </c>
      <c r="E66" t="s">
        <v>30</v>
      </c>
      <c r="F66">
        <v>9938</v>
      </c>
      <c r="G66" t="s">
        <v>619</v>
      </c>
      <c r="H66" s="1">
        <v>0.01</v>
      </c>
      <c r="I66" t="s">
        <v>28</v>
      </c>
      <c r="J66" s="1">
        <v>204364.26</v>
      </c>
      <c r="K66" t="s">
        <v>26</v>
      </c>
      <c r="L66">
        <v>180536</v>
      </c>
      <c r="M66" t="s">
        <v>623</v>
      </c>
      <c r="O66">
        <v>1</v>
      </c>
    </row>
    <row r="67" spans="1:17" hidden="1" x14ac:dyDescent="0.25">
      <c r="A67">
        <v>8003879954</v>
      </c>
      <c r="B67">
        <v>20</v>
      </c>
      <c r="C67">
        <v>25072017</v>
      </c>
      <c r="D67">
        <v>489</v>
      </c>
      <c r="E67" t="s">
        <v>31</v>
      </c>
      <c r="F67">
        <v>9938</v>
      </c>
      <c r="G67" t="s">
        <v>619</v>
      </c>
      <c r="H67" s="1">
        <v>0.1</v>
      </c>
      <c r="I67" t="s">
        <v>28</v>
      </c>
      <c r="J67" s="1">
        <v>204364.27</v>
      </c>
      <c r="K67" t="s">
        <v>26</v>
      </c>
      <c r="L67">
        <v>180536</v>
      </c>
      <c r="M67" t="s">
        <v>623</v>
      </c>
      <c r="O67">
        <v>1</v>
      </c>
    </row>
    <row r="68" spans="1:17" hidden="1" x14ac:dyDescent="0.25">
      <c r="A68">
        <v>8003879954</v>
      </c>
      <c r="B68">
        <v>19</v>
      </c>
      <c r="C68">
        <v>25072017</v>
      </c>
      <c r="D68">
        <v>345</v>
      </c>
      <c r="E68" t="s">
        <v>27</v>
      </c>
      <c r="F68">
        <v>9938</v>
      </c>
      <c r="G68" t="s">
        <v>624</v>
      </c>
      <c r="H68" s="1">
        <v>195.49</v>
      </c>
      <c r="I68" t="s">
        <v>28</v>
      </c>
      <c r="J68" s="1">
        <v>204364.37</v>
      </c>
      <c r="K68" t="s">
        <v>26</v>
      </c>
      <c r="L68">
        <v>180536</v>
      </c>
      <c r="M68" t="s">
        <v>625</v>
      </c>
      <c r="O68">
        <v>1</v>
      </c>
      <c r="P68" t="s">
        <v>626</v>
      </c>
      <c r="Q68" t="s">
        <v>74</v>
      </c>
    </row>
    <row r="69" spans="1:17" hidden="1" x14ac:dyDescent="0.25">
      <c r="A69">
        <v>8003879954</v>
      </c>
      <c r="B69">
        <v>18</v>
      </c>
      <c r="C69">
        <v>25072017</v>
      </c>
      <c r="D69">
        <v>341</v>
      </c>
      <c r="E69" t="s">
        <v>29</v>
      </c>
      <c r="F69">
        <v>9938</v>
      </c>
      <c r="G69" t="s">
        <v>627</v>
      </c>
      <c r="H69" s="1">
        <v>77</v>
      </c>
      <c r="I69" t="s">
        <v>28</v>
      </c>
      <c r="J69" s="1">
        <v>204559.86</v>
      </c>
      <c r="K69" t="s">
        <v>26</v>
      </c>
      <c r="L69">
        <v>180534</v>
      </c>
      <c r="M69" t="s">
        <v>97</v>
      </c>
      <c r="O69">
        <v>1</v>
      </c>
      <c r="P69" t="s">
        <v>628</v>
      </c>
      <c r="Q69" t="s">
        <v>629</v>
      </c>
    </row>
    <row r="70" spans="1:17" x14ac:dyDescent="0.25">
      <c r="A70">
        <v>8003879954</v>
      </c>
      <c r="B70">
        <v>17</v>
      </c>
      <c r="C70">
        <v>25072017</v>
      </c>
      <c r="D70">
        <v>299</v>
      </c>
      <c r="E70" t="s">
        <v>30</v>
      </c>
      <c r="F70">
        <v>9938</v>
      </c>
      <c r="G70" t="s">
        <v>627</v>
      </c>
      <c r="H70" s="1">
        <v>0.01</v>
      </c>
      <c r="I70" t="s">
        <v>28</v>
      </c>
      <c r="J70" s="1">
        <v>204636.86</v>
      </c>
      <c r="K70" t="s">
        <v>26</v>
      </c>
      <c r="L70">
        <v>180534</v>
      </c>
      <c r="M70" t="s">
        <v>630</v>
      </c>
      <c r="O70">
        <v>1</v>
      </c>
    </row>
    <row r="71" spans="1:17" hidden="1" x14ac:dyDescent="0.25">
      <c r="A71">
        <v>8003879954</v>
      </c>
      <c r="B71">
        <v>16</v>
      </c>
      <c r="C71">
        <v>25072017</v>
      </c>
      <c r="D71">
        <v>489</v>
      </c>
      <c r="E71" t="s">
        <v>31</v>
      </c>
      <c r="F71">
        <v>9938</v>
      </c>
      <c r="G71" t="s">
        <v>627</v>
      </c>
      <c r="H71" s="1">
        <v>0.1</v>
      </c>
      <c r="I71" t="s">
        <v>28</v>
      </c>
      <c r="J71" s="1">
        <v>204636.87</v>
      </c>
      <c r="K71" t="s">
        <v>26</v>
      </c>
      <c r="L71">
        <v>180534</v>
      </c>
      <c r="M71" t="s">
        <v>630</v>
      </c>
      <c r="O71">
        <v>1</v>
      </c>
    </row>
    <row r="72" spans="1:17" hidden="1" x14ac:dyDescent="0.25">
      <c r="A72">
        <v>8003879954</v>
      </c>
      <c r="B72">
        <v>15</v>
      </c>
      <c r="C72">
        <v>25072017</v>
      </c>
      <c r="D72">
        <v>341</v>
      </c>
      <c r="E72" t="s">
        <v>29</v>
      </c>
      <c r="F72">
        <v>9938</v>
      </c>
      <c r="G72" t="s">
        <v>631</v>
      </c>
      <c r="H72" s="1">
        <v>858.6</v>
      </c>
      <c r="I72" t="s">
        <v>28</v>
      </c>
      <c r="J72" s="1">
        <v>204636.97</v>
      </c>
      <c r="K72" t="s">
        <v>26</v>
      </c>
      <c r="L72">
        <v>180534</v>
      </c>
      <c r="M72" t="s">
        <v>632</v>
      </c>
      <c r="O72">
        <v>1</v>
      </c>
      <c r="P72" t="s">
        <v>633</v>
      </c>
      <c r="Q72" t="s">
        <v>634</v>
      </c>
    </row>
    <row r="73" spans="1:17" x14ac:dyDescent="0.25">
      <c r="A73">
        <v>8003879954</v>
      </c>
      <c r="B73">
        <v>14</v>
      </c>
      <c r="C73">
        <v>25072017</v>
      </c>
      <c r="D73">
        <v>299</v>
      </c>
      <c r="E73" t="s">
        <v>30</v>
      </c>
      <c r="F73">
        <v>9938</v>
      </c>
      <c r="G73" t="s">
        <v>631</v>
      </c>
      <c r="H73" s="1">
        <v>0.01</v>
      </c>
      <c r="I73" t="s">
        <v>28</v>
      </c>
      <c r="J73" s="1">
        <v>205495.57</v>
      </c>
      <c r="K73" t="s">
        <v>26</v>
      </c>
      <c r="L73">
        <v>180534</v>
      </c>
      <c r="M73" t="s">
        <v>635</v>
      </c>
      <c r="O73">
        <v>1</v>
      </c>
    </row>
    <row r="74" spans="1:17" hidden="1" x14ac:dyDescent="0.25">
      <c r="A74">
        <v>8003879954</v>
      </c>
      <c r="B74">
        <v>13</v>
      </c>
      <c r="C74">
        <v>25072017</v>
      </c>
      <c r="D74">
        <v>489</v>
      </c>
      <c r="E74" t="s">
        <v>31</v>
      </c>
      <c r="F74">
        <v>9938</v>
      </c>
      <c r="G74" t="s">
        <v>631</v>
      </c>
      <c r="H74" s="1">
        <v>0.1</v>
      </c>
      <c r="I74" t="s">
        <v>28</v>
      </c>
      <c r="J74" s="1">
        <v>205495.58</v>
      </c>
      <c r="K74" t="s">
        <v>26</v>
      </c>
      <c r="L74">
        <v>180534</v>
      </c>
      <c r="M74" t="s">
        <v>635</v>
      </c>
      <c r="O74">
        <v>1</v>
      </c>
    </row>
    <row r="75" spans="1:17" hidden="1" x14ac:dyDescent="0.25">
      <c r="A75">
        <v>8003879954</v>
      </c>
      <c r="B75">
        <v>12</v>
      </c>
      <c r="C75">
        <v>25072017</v>
      </c>
      <c r="D75">
        <v>341</v>
      </c>
      <c r="E75" t="s">
        <v>29</v>
      </c>
      <c r="F75">
        <v>9938</v>
      </c>
      <c r="G75" t="s">
        <v>636</v>
      </c>
      <c r="H75" s="1">
        <v>360</v>
      </c>
      <c r="I75" t="s">
        <v>28</v>
      </c>
      <c r="J75" s="1">
        <v>205495.67999999999</v>
      </c>
      <c r="K75" t="s">
        <v>26</v>
      </c>
      <c r="L75">
        <v>180534</v>
      </c>
      <c r="M75" t="s">
        <v>165</v>
      </c>
      <c r="O75">
        <v>1</v>
      </c>
      <c r="P75" t="s">
        <v>637</v>
      </c>
      <c r="Q75" t="s">
        <v>638</v>
      </c>
    </row>
    <row r="76" spans="1:17" x14ac:dyDescent="0.25">
      <c r="A76">
        <v>8003879954</v>
      </c>
      <c r="B76">
        <v>11</v>
      </c>
      <c r="C76">
        <v>25072017</v>
      </c>
      <c r="D76">
        <v>299</v>
      </c>
      <c r="E76" t="s">
        <v>30</v>
      </c>
      <c r="F76">
        <v>9938</v>
      </c>
      <c r="G76" t="s">
        <v>636</v>
      </c>
      <c r="H76" s="1">
        <v>0.01</v>
      </c>
      <c r="I76" t="s">
        <v>28</v>
      </c>
      <c r="J76" s="1">
        <v>205855.68</v>
      </c>
      <c r="K76" t="s">
        <v>26</v>
      </c>
      <c r="L76">
        <v>180534</v>
      </c>
      <c r="M76" t="s">
        <v>639</v>
      </c>
      <c r="O76">
        <v>1</v>
      </c>
    </row>
    <row r="77" spans="1:17" hidden="1" x14ac:dyDescent="0.25">
      <c r="A77">
        <v>8003879954</v>
      </c>
      <c r="B77">
        <v>10</v>
      </c>
      <c r="C77">
        <v>25072017</v>
      </c>
      <c r="D77">
        <v>489</v>
      </c>
      <c r="E77" t="s">
        <v>31</v>
      </c>
      <c r="F77">
        <v>9938</v>
      </c>
      <c r="G77" t="s">
        <v>636</v>
      </c>
      <c r="H77" s="1">
        <v>0.1</v>
      </c>
      <c r="I77" t="s">
        <v>28</v>
      </c>
      <c r="J77" s="1">
        <v>205855.69</v>
      </c>
      <c r="K77" t="s">
        <v>26</v>
      </c>
      <c r="L77">
        <v>180534</v>
      </c>
      <c r="M77" t="s">
        <v>639</v>
      </c>
      <c r="O77">
        <v>1</v>
      </c>
    </row>
    <row r="78" spans="1:17" hidden="1" x14ac:dyDescent="0.25">
      <c r="A78">
        <v>8003879954</v>
      </c>
      <c r="B78">
        <v>9</v>
      </c>
      <c r="C78">
        <v>25072017</v>
      </c>
      <c r="D78">
        <v>341</v>
      </c>
      <c r="E78" t="s">
        <v>29</v>
      </c>
      <c r="F78">
        <v>9938</v>
      </c>
      <c r="G78" t="s">
        <v>640</v>
      </c>
      <c r="H78" s="1">
        <v>782.12</v>
      </c>
      <c r="I78" t="s">
        <v>28</v>
      </c>
      <c r="J78" s="1">
        <v>205855.79</v>
      </c>
      <c r="K78" t="s">
        <v>26</v>
      </c>
      <c r="L78">
        <v>180534</v>
      </c>
      <c r="M78" t="s">
        <v>120</v>
      </c>
      <c r="O78">
        <v>1</v>
      </c>
      <c r="P78" t="s">
        <v>641</v>
      </c>
      <c r="Q78" t="s">
        <v>642</v>
      </c>
    </row>
    <row r="79" spans="1:17" x14ac:dyDescent="0.25">
      <c r="A79">
        <v>8003879954</v>
      </c>
      <c r="B79">
        <v>8</v>
      </c>
      <c r="C79">
        <v>25072017</v>
      </c>
      <c r="D79">
        <v>299</v>
      </c>
      <c r="E79" t="s">
        <v>30</v>
      </c>
      <c r="F79">
        <v>9938</v>
      </c>
      <c r="G79" t="s">
        <v>640</v>
      </c>
      <c r="H79" s="1">
        <v>0.01</v>
      </c>
      <c r="I79" t="s">
        <v>28</v>
      </c>
      <c r="J79" s="1">
        <v>206637.91</v>
      </c>
      <c r="K79" t="s">
        <v>26</v>
      </c>
      <c r="L79">
        <v>180534</v>
      </c>
      <c r="M79" t="s">
        <v>643</v>
      </c>
      <c r="O79">
        <v>1</v>
      </c>
    </row>
    <row r="80" spans="1:17" hidden="1" x14ac:dyDescent="0.25">
      <c r="A80">
        <v>8003879954</v>
      </c>
      <c r="B80">
        <v>7</v>
      </c>
      <c r="C80">
        <v>25072017</v>
      </c>
      <c r="D80">
        <v>489</v>
      </c>
      <c r="E80" t="s">
        <v>31</v>
      </c>
      <c r="F80">
        <v>9938</v>
      </c>
      <c r="G80" t="s">
        <v>640</v>
      </c>
      <c r="H80" s="1">
        <v>0.1</v>
      </c>
      <c r="I80" t="s">
        <v>28</v>
      </c>
      <c r="J80" s="1">
        <v>206637.92</v>
      </c>
      <c r="K80" t="s">
        <v>26</v>
      </c>
      <c r="L80">
        <v>180534</v>
      </c>
      <c r="M80" t="s">
        <v>643</v>
      </c>
      <c r="O80">
        <v>1</v>
      </c>
    </row>
    <row r="81" spans="1:18" hidden="1" x14ac:dyDescent="0.25">
      <c r="A81">
        <v>8003879954</v>
      </c>
      <c r="B81">
        <v>6</v>
      </c>
      <c r="C81">
        <v>25072017</v>
      </c>
      <c r="D81">
        <v>299</v>
      </c>
      <c r="E81" t="s">
        <v>44</v>
      </c>
      <c r="F81">
        <v>72</v>
      </c>
      <c r="G81" t="s">
        <v>644</v>
      </c>
      <c r="H81" s="1">
        <v>1.8</v>
      </c>
      <c r="I81" t="s">
        <v>28</v>
      </c>
      <c r="J81" s="1">
        <v>206638.02</v>
      </c>
      <c r="K81" t="s">
        <v>26</v>
      </c>
      <c r="L81">
        <v>120043</v>
      </c>
      <c r="M81" t="s">
        <v>645</v>
      </c>
      <c r="O81">
        <v>1</v>
      </c>
    </row>
    <row r="82" spans="1:18" hidden="1" x14ac:dyDescent="0.25">
      <c r="A82">
        <v>8003879954</v>
      </c>
      <c r="B82">
        <v>5</v>
      </c>
      <c r="C82">
        <v>25072017</v>
      </c>
      <c r="D82">
        <v>415</v>
      </c>
      <c r="E82" t="s">
        <v>34</v>
      </c>
      <c r="F82">
        <v>72</v>
      </c>
      <c r="G82" t="s">
        <v>644</v>
      </c>
      <c r="H82" s="1">
        <v>30</v>
      </c>
      <c r="I82" t="s">
        <v>28</v>
      </c>
      <c r="J82" s="1">
        <v>206639.82</v>
      </c>
      <c r="K82" t="s">
        <v>26</v>
      </c>
      <c r="L82">
        <v>120043</v>
      </c>
      <c r="M82" t="s">
        <v>645</v>
      </c>
      <c r="O82">
        <v>1</v>
      </c>
    </row>
    <row r="83" spans="1:18" hidden="1" x14ac:dyDescent="0.25">
      <c r="A83">
        <v>8003879954</v>
      </c>
      <c r="B83">
        <v>4</v>
      </c>
      <c r="C83">
        <v>25072017</v>
      </c>
      <c r="D83">
        <v>349</v>
      </c>
      <c r="E83" t="s">
        <v>35</v>
      </c>
      <c r="F83">
        <v>72</v>
      </c>
      <c r="G83" t="s">
        <v>644</v>
      </c>
      <c r="H83" s="1">
        <v>62298.720000000001</v>
      </c>
      <c r="I83" t="s">
        <v>28</v>
      </c>
      <c r="J83" s="1">
        <v>206669.82</v>
      </c>
      <c r="K83" t="s">
        <v>26</v>
      </c>
      <c r="L83">
        <v>120043</v>
      </c>
      <c r="M83" t="s">
        <v>645</v>
      </c>
      <c r="O83">
        <v>1</v>
      </c>
    </row>
    <row r="84" spans="1:18" hidden="1" x14ac:dyDescent="0.25">
      <c r="A84">
        <v>8003879954</v>
      </c>
      <c r="B84">
        <v>3</v>
      </c>
      <c r="C84">
        <v>25072017</v>
      </c>
      <c r="D84">
        <v>299</v>
      </c>
      <c r="E84" t="s">
        <v>44</v>
      </c>
      <c r="F84">
        <v>72</v>
      </c>
      <c r="G84" t="s">
        <v>646</v>
      </c>
      <c r="H84" s="1">
        <v>0.6</v>
      </c>
      <c r="I84" t="s">
        <v>28</v>
      </c>
      <c r="J84" s="1">
        <v>268968.53999999998</v>
      </c>
      <c r="K84" t="s">
        <v>26</v>
      </c>
      <c r="L84">
        <v>115715</v>
      </c>
      <c r="M84" t="s">
        <v>647</v>
      </c>
      <c r="O84">
        <v>1</v>
      </c>
    </row>
    <row r="85" spans="1:18" hidden="1" x14ac:dyDescent="0.25">
      <c r="A85">
        <v>8003879954</v>
      </c>
      <c r="B85">
        <v>2</v>
      </c>
      <c r="C85">
        <v>25072017</v>
      </c>
      <c r="D85">
        <v>415</v>
      </c>
      <c r="E85" t="s">
        <v>34</v>
      </c>
      <c r="F85">
        <v>72</v>
      </c>
      <c r="G85" t="s">
        <v>646</v>
      </c>
      <c r="H85" s="1">
        <v>10</v>
      </c>
      <c r="I85" t="s">
        <v>28</v>
      </c>
      <c r="J85" s="1">
        <v>268969.14</v>
      </c>
      <c r="K85" t="s">
        <v>26</v>
      </c>
      <c r="L85">
        <v>115715</v>
      </c>
      <c r="M85" t="s">
        <v>647</v>
      </c>
      <c r="O85">
        <v>1</v>
      </c>
    </row>
    <row r="86" spans="1:18" hidden="1" x14ac:dyDescent="0.25">
      <c r="A86">
        <v>8003879954</v>
      </c>
      <c r="B86">
        <v>1</v>
      </c>
      <c r="C86">
        <v>25072017</v>
      </c>
      <c r="D86">
        <v>349</v>
      </c>
      <c r="E86" t="s">
        <v>35</v>
      </c>
      <c r="F86">
        <v>72</v>
      </c>
      <c r="G86" t="s">
        <v>646</v>
      </c>
      <c r="H86" s="1">
        <v>53283.040000000001</v>
      </c>
      <c r="I86" t="s">
        <v>28</v>
      </c>
      <c r="J86" s="1">
        <v>268979.14</v>
      </c>
      <c r="K86" t="s">
        <v>26</v>
      </c>
      <c r="L86">
        <v>115715</v>
      </c>
      <c r="M86" t="s">
        <v>647</v>
      </c>
      <c r="O86">
        <v>1</v>
      </c>
    </row>
    <row r="87" spans="1:18" hidden="1" x14ac:dyDescent="0.25">
      <c r="A87">
        <v>8003879954</v>
      </c>
      <c r="B87">
        <v>1</v>
      </c>
      <c r="C87">
        <v>24072017</v>
      </c>
      <c r="D87">
        <v>5</v>
      </c>
      <c r="E87" t="s">
        <v>42</v>
      </c>
      <c r="H87" s="1">
        <v>300000</v>
      </c>
      <c r="I87" t="s">
        <v>26</v>
      </c>
      <c r="J87" s="1">
        <v>322262.18</v>
      </c>
      <c r="K87" t="s">
        <v>26</v>
      </c>
      <c r="L87">
        <v>143137</v>
      </c>
      <c r="M87" t="s">
        <v>648</v>
      </c>
      <c r="O87">
        <v>1</v>
      </c>
      <c r="P87" t="s">
        <v>649</v>
      </c>
      <c r="Q87" t="s">
        <v>59</v>
      </c>
      <c r="R87" t="s">
        <v>60</v>
      </c>
    </row>
    <row r="88" spans="1:18" x14ac:dyDescent="0.25">
      <c r="A88">
        <v>8003879954</v>
      </c>
      <c r="B88">
        <v>3</v>
      </c>
      <c r="C88">
        <v>21072017</v>
      </c>
      <c r="D88">
        <v>299</v>
      </c>
      <c r="E88" t="s">
        <v>30</v>
      </c>
      <c r="H88" s="1">
        <v>0.03</v>
      </c>
      <c r="I88" t="s">
        <v>28</v>
      </c>
      <c r="J88" s="1">
        <v>22262.18</v>
      </c>
      <c r="K88" t="s">
        <v>26</v>
      </c>
      <c r="L88">
        <v>5732</v>
      </c>
      <c r="M88" t="s">
        <v>53</v>
      </c>
      <c r="O88">
        <v>1</v>
      </c>
    </row>
    <row r="89" spans="1:18" hidden="1" x14ac:dyDescent="0.25">
      <c r="A89">
        <v>8003879954</v>
      </c>
      <c r="B89">
        <v>2</v>
      </c>
      <c r="C89">
        <v>21072017</v>
      </c>
      <c r="D89">
        <v>819</v>
      </c>
      <c r="E89" t="s">
        <v>32</v>
      </c>
      <c r="H89" s="1">
        <v>0.5</v>
      </c>
      <c r="I89" t="s">
        <v>28</v>
      </c>
      <c r="J89" s="1">
        <v>22262.21</v>
      </c>
      <c r="K89" t="s">
        <v>26</v>
      </c>
      <c r="L89">
        <v>5732</v>
      </c>
      <c r="M89" t="s">
        <v>53</v>
      </c>
      <c r="O89">
        <v>1</v>
      </c>
    </row>
    <row r="90" spans="1:18" hidden="1" x14ac:dyDescent="0.25">
      <c r="A90">
        <v>8003879954</v>
      </c>
      <c r="B90">
        <v>1</v>
      </c>
      <c r="C90">
        <v>21072017</v>
      </c>
      <c r="D90">
        <v>323</v>
      </c>
      <c r="E90" t="s">
        <v>33</v>
      </c>
      <c r="F90">
        <v>0</v>
      </c>
      <c r="G90" t="s">
        <v>650</v>
      </c>
      <c r="H90" s="1">
        <v>57240</v>
      </c>
      <c r="I90" t="s">
        <v>28</v>
      </c>
      <c r="J90" s="1">
        <v>22262.71</v>
      </c>
      <c r="K90" t="s">
        <v>26</v>
      </c>
      <c r="L90">
        <v>5617</v>
      </c>
      <c r="M90" t="s">
        <v>53</v>
      </c>
      <c r="O90">
        <v>1</v>
      </c>
    </row>
    <row r="91" spans="1:18" hidden="1" x14ac:dyDescent="0.25">
      <c r="A91">
        <v>8003879954</v>
      </c>
      <c r="B91">
        <v>37</v>
      </c>
      <c r="C91">
        <v>20072017</v>
      </c>
      <c r="D91">
        <v>341</v>
      </c>
      <c r="E91" t="str">
        <f>"TR IBG"</f>
        <v>TR IBG</v>
      </c>
      <c r="F91">
        <v>9938</v>
      </c>
      <c r="G91" t="str">
        <f>"18889067"</f>
        <v>18889067</v>
      </c>
      <c r="H91" s="1">
        <v>415.6</v>
      </c>
      <c r="I91" t="s">
        <v>28</v>
      </c>
      <c r="J91" s="1">
        <v>79502.710000000006</v>
      </c>
      <c r="K91" t="s">
        <v>26</v>
      </c>
      <c r="L91">
        <v>180000</v>
      </c>
      <c r="M91" t="str">
        <f>"YTL COMMUNICATIONS S"</f>
        <v>YTL COMMUNICATIONS S</v>
      </c>
      <c r="O91">
        <v>1</v>
      </c>
      <c r="P91" t="str">
        <f>"PGTEFT2464"</f>
        <v>PGTEFT2464</v>
      </c>
      <c r="Q91" t="str">
        <f>"813783509 813783531"</f>
        <v>813783509 813783531</v>
      </c>
    </row>
    <row r="92" spans="1:18" x14ac:dyDescent="0.25">
      <c r="A92">
        <v>8003879954</v>
      </c>
      <c r="B92">
        <v>36</v>
      </c>
      <c r="C92">
        <v>20072017</v>
      </c>
      <c r="D92">
        <v>299</v>
      </c>
      <c r="E92" t="str">
        <f>"GST"</f>
        <v>GST</v>
      </c>
      <c r="F92">
        <v>9938</v>
      </c>
      <c r="G92" t="str">
        <f>"18889067"</f>
        <v>18889067</v>
      </c>
      <c r="H92" s="1">
        <v>0.01</v>
      </c>
      <c r="I92" t="s">
        <v>28</v>
      </c>
      <c r="J92" s="1">
        <v>79918.31</v>
      </c>
      <c r="K92" t="s">
        <v>26</v>
      </c>
      <c r="L92">
        <v>180000</v>
      </c>
      <c r="M92" t="str">
        <f>"PGTEFT2464          813783509 813783531"</f>
        <v>PGTEFT2464          813783509 813783531</v>
      </c>
      <c r="O92">
        <v>1</v>
      </c>
    </row>
    <row r="93" spans="1:18" hidden="1" x14ac:dyDescent="0.25">
      <c r="A93">
        <v>8003879954</v>
      </c>
      <c r="B93">
        <v>35</v>
      </c>
      <c r="C93">
        <v>20072017</v>
      </c>
      <c r="D93">
        <v>489</v>
      </c>
      <c r="E93" t="str">
        <f>"OTHER TRANSFER FEE"</f>
        <v>OTHER TRANSFER FEE</v>
      </c>
      <c r="F93">
        <v>9938</v>
      </c>
      <c r="G93" t="str">
        <f>"18889067"</f>
        <v>18889067</v>
      </c>
      <c r="H93" s="1">
        <v>0.1</v>
      </c>
      <c r="I93" t="s">
        <v>28</v>
      </c>
      <c r="J93" s="1">
        <v>79918.320000000007</v>
      </c>
      <c r="K93" t="s">
        <v>26</v>
      </c>
      <c r="L93">
        <v>180000</v>
      </c>
      <c r="M93" t="str">
        <f>"PGTEFT2464          813783509 813783531"</f>
        <v>PGTEFT2464          813783509 813783531</v>
      </c>
      <c r="O93">
        <v>1</v>
      </c>
    </row>
    <row r="94" spans="1:18" hidden="1" x14ac:dyDescent="0.25">
      <c r="A94">
        <v>8003879954</v>
      </c>
      <c r="B94">
        <v>34</v>
      </c>
      <c r="C94">
        <v>20072017</v>
      </c>
      <c r="D94">
        <v>341</v>
      </c>
      <c r="E94" t="str">
        <f>"TR IBG"</f>
        <v>TR IBG</v>
      </c>
      <c r="F94">
        <v>9938</v>
      </c>
      <c r="G94" t="str">
        <f>"18889300"</f>
        <v>18889300</v>
      </c>
      <c r="H94" s="1">
        <v>40.25</v>
      </c>
      <c r="I94" t="s">
        <v>28</v>
      </c>
      <c r="J94" s="1">
        <v>79918.42</v>
      </c>
      <c r="K94" t="s">
        <v>26</v>
      </c>
      <c r="L94">
        <v>175956</v>
      </c>
      <c r="M94" t="str">
        <f>"WEB ASP SDN BHD"</f>
        <v>WEB ASP SDN BHD</v>
      </c>
      <c r="O94">
        <v>1</v>
      </c>
      <c r="P94" t="str">
        <f>"PGTEFT2463"</f>
        <v>PGTEFT2463</v>
      </c>
      <c r="Q94" t="str">
        <f>"ACC 1618-3562"</f>
        <v>ACC 1618-3562</v>
      </c>
    </row>
    <row r="95" spans="1:18" x14ac:dyDescent="0.25">
      <c r="A95">
        <v>8003879954</v>
      </c>
      <c r="B95">
        <v>33</v>
      </c>
      <c r="C95">
        <v>20072017</v>
      </c>
      <c r="D95">
        <v>299</v>
      </c>
      <c r="E95" t="str">
        <f>"GST"</f>
        <v>GST</v>
      </c>
      <c r="F95">
        <v>9938</v>
      </c>
      <c r="G95" t="str">
        <f>"18889300"</f>
        <v>18889300</v>
      </c>
      <c r="H95" s="1">
        <v>0.01</v>
      </c>
      <c r="I95" t="s">
        <v>28</v>
      </c>
      <c r="J95" s="1">
        <v>79958.67</v>
      </c>
      <c r="K95" t="s">
        <v>26</v>
      </c>
      <c r="L95">
        <v>175956</v>
      </c>
      <c r="M95" t="str">
        <f>"PGTEFT2463          ACC 1618-3562"</f>
        <v>PGTEFT2463          ACC 1618-3562</v>
      </c>
      <c r="O95">
        <v>1</v>
      </c>
    </row>
    <row r="96" spans="1:18" hidden="1" x14ac:dyDescent="0.25">
      <c r="A96">
        <v>8003879954</v>
      </c>
      <c r="B96">
        <v>32</v>
      </c>
      <c r="C96">
        <v>20072017</v>
      </c>
      <c r="D96">
        <v>489</v>
      </c>
      <c r="E96" t="str">
        <f>"OTHER TRANSFER FEE"</f>
        <v>OTHER TRANSFER FEE</v>
      </c>
      <c r="F96">
        <v>9938</v>
      </c>
      <c r="G96" t="str">
        <f>"18889300"</f>
        <v>18889300</v>
      </c>
      <c r="H96" s="1">
        <v>0.1</v>
      </c>
      <c r="I96" t="s">
        <v>28</v>
      </c>
      <c r="J96" s="1">
        <v>79958.679999999993</v>
      </c>
      <c r="K96" t="s">
        <v>26</v>
      </c>
      <c r="L96">
        <v>175956</v>
      </c>
      <c r="M96" t="str">
        <f>"PGTEFT2463          ACC 1618-3562"</f>
        <v>PGTEFT2463          ACC 1618-3562</v>
      </c>
      <c r="O96">
        <v>1</v>
      </c>
    </row>
    <row r="97" spans="1:17" hidden="1" x14ac:dyDescent="0.25">
      <c r="A97">
        <v>8003879954</v>
      </c>
      <c r="B97">
        <v>31</v>
      </c>
      <c r="C97">
        <v>20072017</v>
      </c>
      <c r="D97">
        <v>341</v>
      </c>
      <c r="E97" t="str">
        <f>"TR IBG"</f>
        <v>TR IBG</v>
      </c>
      <c r="F97">
        <v>9938</v>
      </c>
      <c r="G97" t="str">
        <f>"18888692"</f>
        <v>18888692</v>
      </c>
      <c r="H97" s="1">
        <v>90</v>
      </c>
      <c r="I97" t="s">
        <v>28</v>
      </c>
      <c r="J97" s="1">
        <v>79958.78</v>
      </c>
      <c r="K97" t="s">
        <v>26</v>
      </c>
      <c r="L97">
        <v>175958</v>
      </c>
      <c r="M97" t="str">
        <f>"YEAP KAM MOEY"</f>
        <v>YEAP KAM MOEY</v>
      </c>
      <c r="O97">
        <v>1</v>
      </c>
      <c r="P97" t="str">
        <f>"PGTEFT2466"</f>
        <v>PGTEFT2466</v>
      </c>
      <c r="Q97" t="str">
        <f>"03JUL2017"</f>
        <v>03JUL2017</v>
      </c>
    </row>
    <row r="98" spans="1:17" x14ac:dyDescent="0.25">
      <c r="A98">
        <v>8003879954</v>
      </c>
      <c r="B98">
        <v>30</v>
      </c>
      <c r="C98">
        <v>20072017</v>
      </c>
      <c r="D98">
        <v>299</v>
      </c>
      <c r="E98" t="str">
        <f>"GST"</f>
        <v>GST</v>
      </c>
      <c r="F98">
        <v>9938</v>
      </c>
      <c r="G98" t="str">
        <f>"18888692"</f>
        <v>18888692</v>
      </c>
      <c r="H98" s="1">
        <v>0.01</v>
      </c>
      <c r="I98" t="s">
        <v>28</v>
      </c>
      <c r="J98" s="1">
        <v>80048.78</v>
      </c>
      <c r="K98" t="s">
        <v>26</v>
      </c>
      <c r="L98">
        <v>175958</v>
      </c>
      <c r="M98" t="str">
        <f>"PGTEFT2466          03JUL2017"</f>
        <v>PGTEFT2466          03JUL2017</v>
      </c>
      <c r="O98">
        <v>1</v>
      </c>
    </row>
    <row r="99" spans="1:17" hidden="1" x14ac:dyDescent="0.25">
      <c r="A99">
        <v>8003879954</v>
      </c>
      <c r="B99">
        <v>29</v>
      </c>
      <c r="C99">
        <v>20072017</v>
      </c>
      <c r="D99">
        <v>489</v>
      </c>
      <c r="E99" t="str">
        <f>"OTHER TRANSFER FEE"</f>
        <v>OTHER TRANSFER FEE</v>
      </c>
      <c r="F99">
        <v>9938</v>
      </c>
      <c r="G99" t="str">
        <f>"18888692"</f>
        <v>18888692</v>
      </c>
      <c r="H99" s="1">
        <v>0.1</v>
      </c>
      <c r="I99" t="s">
        <v>28</v>
      </c>
      <c r="J99" s="1">
        <v>80048.789999999994</v>
      </c>
      <c r="K99" t="s">
        <v>26</v>
      </c>
      <c r="L99">
        <v>175958</v>
      </c>
      <c r="M99" t="str">
        <f>"PGTEFT2466          03JUL2017"</f>
        <v>PGTEFT2466          03JUL2017</v>
      </c>
      <c r="O99">
        <v>1</v>
      </c>
    </row>
    <row r="100" spans="1:17" hidden="1" x14ac:dyDescent="0.25">
      <c r="A100">
        <v>8003879954</v>
      </c>
      <c r="B100">
        <v>28</v>
      </c>
      <c r="C100">
        <v>20072017</v>
      </c>
      <c r="D100">
        <v>341</v>
      </c>
      <c r="E100" t="str">
        <f>"TR IBG"</f>
        <v>TR IBG</v>
      </c>
      <c r="F100">
        <v>9938</v>
      </c>
      <c r="G100" t="str">
        <f>"18889505"</f>
        <v>18889505</v>
      </c>
      <c r="H100" s="1">
        <v>442</v>
      </c>
      <c r="I100" t="s">
        <v>28</v>
      </c>
      <c r="J100" s="1">
        <v>80048.89</v>
      </c>
      <c r="K100" t="s">
        <v>26</v>
      </c>
      <c r="L100">
        <v>175958</v>
      </c>
      <c r="M100" t="str">
        <f>"TOP ONE DIGITAL SHOP"</f>
        <v>TOP ONE DIGITAL SHOP</v>
      </c>
      <c r="O100">
        <v>1</v>
      </c>
      <c r="P100" t="str">
        <f>"PGTEFT2462"</f>
        <v>PGTEFT2462</v>
      </c>
      <c r="Q100" t="str">
        <f>"IV-0022118 0022119"</f>
        <v>IV-0022118 0022119</v>
      </c>
    </row>
    <row r="101" spans="1:17" x14ac:dyDescent="0.25">
      <c r="A101">
        <v>8003879954</v>
      </c>
      <c r="B101">
        <v>27</v>
      </c>
      <c r="C101">
        <v>20072017</v>
      </c>
      <c r="D101">
        <v>299</v>
      </c>
      <c r="E101" t="str">
        <f>"GST"</f>
        <v>GST</v>
      </c>
      <c r="F101">
        <v>9938</v>
      </c>
      <c r="G101" t="str">
        <f>"18889505"</f>
        <v>18889505</v>
      </c>
      <c r="H101" s="1">
        <v>0.01</v>
      </c>
      <c r="I101" t="s">
        <v>28</v>
      </c>
      <c r="J101" s="1">
        <v>80490.89</v>
      </c>
      <c r="K101" t="s">
        <v>26</v>
      </c>
      <c r="L101">
        <v>175958</v>
      </c>
      <c r="M101" t="str">
        <f>"PGTEFT2462          IV-0022118 0022119"</f>
        <v>PGTEFT2462          IV-0022118 0022119</v>
      </c>
      <c r="O101">
        <v>1</v>
      </c>
    </row>
    <row r="102" spans="1:17" hidden="1" x14ac:dyDescent="0.25">
      <c r="A102">
        <v>8003879954</v>
      </c>
      <c r="B102">
        <v>26</v>
      </c>
      <c r="C102">
        <v>20072017</v>
      </c>
      <c r="D102">
        <v>489</v>
      </c>
      <c r="E102" t="str">
        <f>"OTHER TRANSFER FEE"</f>
        <v>OTHER TRANSFER FEE</v>
      </c>
      <c r="F102">
        <v>9938</v>
      </c>
      <c r="G102" t="str">
        <f>"18889505"</f>
        <v>18889505</v>
      </c>
      <c r="H102" s="1">
        <v>0.1</v>
      </c>
      <c r="I102" t="s">
        <v>28</v>
      </c>
      <c r="J102" s="1">
        <v>80490.899999999994</v>
      </c>
      <c r="K102" t="s">
        <v>26</v>
      </c>
      <c r="L102">
        <v>175958</v>
      </c>
      <c r="M102" t="str">
        <f>"PGTEFT2462          IV-0022118 0022119"</f>
        <v>PGTEFT2462          IV-0022118 0022119</v>
      </c>
      <c r="O102">
        <v>1</v>
      </c>
    </row>
    <row r="103" spans="1:17" hidden="1" x14ac:dyDescent="0.25">
      <c r="A103">
        <v>8003879954</v>
      </c>
      <c r="B103">
        <v>25</v>
      </c>
      <c r="C103">
        <v>20072017</v>
      </c>
      <c r="D103">
        <v>345</v>
      </c>
      <c r="E103" t="str">
        <f>"TR TO SAVINGS"</f>
        <v>TR TO SAVINGS</v>
      </c>
      <c r="F103">
        <v>9938</v>
      </c>
      <c r="G103" t="str">
        <f>"18888873"</f>
        <v>18888873</v>
      </c>
      <c r="H103" s="1">
        <v>7416.79</v>
      </c>
      <c r="I103" t="s">
        <v>28</v>
      </c>
      <c r="J103" s="1">
        <v>80491</v>
      </c>
      <c r="K103" t="s">
        <v>26</v>
      </c>
      <c r="L103">
        <v>175957</v>
      </c>
      <c r="M103" t="str">
        <f>"HANA TOUR &amp; PTE SELA YOON PAULINE"</f>
        <v>HANA TOUR &amp; PTE SELA YOON PAULINE</v>
      </c>
      <c r="O103">
        <v>1</v>
      </c>
      <c r="P103" t="str">
        <f>"PGTEFT2465"</f>
        <v>PGTEFT2465</v>
      </c>
      <c r="Q103" t="str">
        <f>"CLAIMS"</f>
        <v>CLAIMS</v>
      </c>
    </row>
    <row r="104" spans="1:17" hidden="1" x14ac:dyDescent="0.25">
      <c r="A104">
        <v>8003879954</v>
      </c>
      <c r="B104">
        <v>24</v>
      </c>
      <c r="C104">
        <v>20072017</v>
      </c>
      <c r="D104">
        <v>341</v>
      </c>
      <c r="E104" t="str">
        <f>"TR IBG"</f>
        <v>TR IBG</v>
      </c>
      <c r="F104">
        <v>9938</v>
      </c>
      <c r="G104" t="str">
        <f>"18889643"</f>
        <v>18889643</v>
      </c>
      <c r="H104" s="1">
        <v>530</v>
      </c>
      <c r="I104" t="s">
        <v>28</v>
      </c>
      <c r="J104" s="1">
        <v>87907.79</v>
      </c>
      <c r="K104" t="s">
        <v>26</v>
      </c>
      <c r="L104">
        <v>175956</v>
      </c>
      <c r="M104" t="str">
        <f>"TLM EVENT SDN BHD"</f>
        <v>TLM EVENT SDN BHD</v>
      </c>
      <c r="O104">
        <v>1</v>
      </c>
      <c r="P104" t="str">
        <f>"PGTEFT2461"</f>
        <v>PGTEFT2461</v>
      </c>
      <c r="Q104" t="str">
        <f>"INV17-028"</f>
        <v>INV17-028</v>
      </c>
    </row>
    <row r="105" spans="1:17" x14ac:dyDescent="0.25">
      <c r="A105">
        <v>8003879954</v>
      </c>
      <c r="B105">
        <v>23</v>
      </c>
      <c r="C105">
        <v>20072017</v>
      </c>
      <c r="D105">
        <v>299</v>
      </c>
      <c r="E105" t="str">
        <f>"GST"</f>
        <v>GST</v>
      </c>
      <c r="F105">
        <v>9938</v>
      </c>
      <c r="G105" t="str">
        <f>"18889643"</f>
        <v>18889643</v>
      </c>
      <c r="H105" s="1">
        <v>0.01</v>
      </c>
      <c r="I105" t="s">
        <v>28</v>
      </c>
      <c r="J105" s="1">
        <v>88437.79</v>
      </c>
      <c r="K105" t="s">
        <v>26</v>
      </c>
      <c r="L105">
        <v>175956</v>
      </c>
      <c r="M105" t="str">
        <f>"PGTEFT2461          INV17-028"</f>
        <v>PGTEFT2461          INV17-028</v>
      </c>
      <c r="O105">
        <v>1</v>
      </c>
    </row>
    <row r="106" spans="1:17" hidden="1" x14ac:dyDescent="0.25">
      <c r="A106">
        <v>8003879954</v>
      </c>
      <c r="B106">
        <v>22</v>
      </c>
      <c r="C106">
        <v>20072017</v>
      </c>
      <c r="D106">
        <v>489</v>
      </c>
      <c r="E106" t="str">
        <f>"OTHER TRANSFER FEE"</f>
        <v>OTHER TRANSFER FEE</v>
      </c>
      <c r="F106">
        <v>9938</v>
      </c>
      <c r="G106" t="str">
        <f>"18889643"</f>
        <v>18889643</v>
      </c>
      <c r="H106" s="1">
        <v>0.1</v>
      </c>
      <c r="I106" t="s">
        <v>28</v>
      </c>
      <c r="J106" s="1">
        <v>88437.8</v>
      </c>
      <c r="K106" t="s">
        <v>26</v>
      </c>
      <c r="L106">
        <v>175956</v>
      </c>
      <c r="M106" t="str">
        <f>"PGTEFT2461          INV17-028"</f>
        <v>PGTEFT2461          INV17-028</v>
      </c>
      <c r="O106">
        <v>1</v>
      </c>
    </row>
    <row r="107" spans="1:17" hidden="1" x14ac:dyDescent="0.25">
      <c r="A107">
        <v>8003879954</v>
      </c>
      <c r="B107">
        <v>21</v>
      </c>
      <c r="C107">
        <v>20072017</v>
      </c>
      <c r="D107">
        <v>341</v>
      </c>
      <c r="E107" t="str">
        <f>"TR IBG"</f>
        <v>TR IBG</v>
      </c>
      <c r="F107">
        <v>9938</v>
      </c>
      <c r="G107" t="str">
        <f>"18890304"</f>
        <v>18890304</v>
      </c>
      <c r="H107" s="1">
        <v>623.28</v>
      </c>
      <c r="I107" t="s">
        <v>28</v>
      </c>
      <c r="J107" s="1">
        <v>88437.9</v>
      </c>
      <c r="K107" t="s">
        <v>26</v>
      </c>
      <c r="L107">
        <v>175733</v>
      </c>
      <c r="M107" t="str">
        <f>"ROD CREATIVE SDN BHD"</f>
        <v>ROD CREATIVE SDN BHD</v>
      </c>
      <c r="O107">
        <v>1</v>
      </c>
      <c r="P107" t="str">
        <f>"PGTEFT2457"</f>
        <v>PGTEFT2457</v>
      </c>
      <c r="Q107" t="str">
        <f>"INV151485"</f>
        <v>INV151485</v>
      </c>
    </row>
    <row r="108" spans="1:17" x14ac:dyDescent="0.25">
      <c r="A108">
        <v>8003879954</v>
      </c>
      <c r="B108">
        <v>20</v>
      </c>
      <c r="C108">
        <v>20072017</v>
      </c>
      <c r="D108">
        <v>299</v>
      </c>
      <c r="E108" t="str">
        <f>"GST"</f>
        <v>GST</v>
      </c>
      <c r="F108">
        <v>9938</v>
      </c>
      <c r="G108" t="str">
        <f>"18890304"</f>
        <v>18890304</v>
      </c>
      <c r="H108" s="1">
        <v>0.01</v>
      </c>
      <c r="I108" t="s">
        <v>28</v>
      </c>
      <c r="J108" s="1">
        <v>89061.18</v>
      </c>
      <c r="K108" t="s">
        <v>26</v>
      </c>
      <c r="L108">
        <v>175733</v>
      </c>
      <c r="M108" t="str">
        <f>"PGTEFT2457          INV151485"</f>
        <v>PGTEFT2457          INV151485</v>
      </c>
      <c r="O108">
        <v>1</v>
      </c>
    </row>
    <row r="109" spans="1:17" hidden="1" x14ac:dyDescent="0.25">
      <c r="A109">
        <v>8003879954</v>
      </c>
      <c r="B109">
        <v>19</v>
      </c>
      <c r="C109">
        <v>20072017</v>
      </c>
      <c r="D109">
        <v>489</v>
      </c>
      <c r="E109" t="str">
        <f>"OTHER TRANSFER FEE"</f>
        <v>OTHER TRANSFER FEE</v>
      </c>
      <c r="F109">
        <v>9938</v>
      </c>
      <c r="G109" t="str">
        <f>"18890304"</f>
        <v>18890304</v>
      </c>
      <c r="H109" s="1">
        <v>0.1</v>
      </c>
      <c r="I109" t="s">
        <v>28</v>
      </c>
      <c r="J109" s="1">
        <v>89061.19</v>
      </c>
      <c r="K109" t="s">
        <v>26</v>
      </c>
      <c r="L109">
        <v>175733</v>
      </c>
      <c r="M109" t="str">
        <f>"PGTEFT2457          INV151485"</f>
        <v>PGTEFT2457          INV151485</v>
      </c>
      <c r="O109">
        <v>1</v>
      </c>
    </row>
    <row r="110" spans="1:17" hidden="1" x14ac:dyDescent="0.25">
      <c r="A110">
        <v>8003879954</v>
      </c>
      <c r="B110">
        <v>18</v>
      </c>
      <c r="C110">
        <v>20072017</v>
      </c>
      <c r="D110">
        <v>60</v>
      </c>
      <c r="E110" t="str">
        <f>"TR TO C/A"</f>
        <v>TR TO C/A</v>
      </c>
      <c r="F110">
        <v>9938</v>
      </c>
      <c r="G110" t="str">
        <f>"18890169"</f>
        <v>18890169</v>
      </c>
      <c r="H110" s="1">
        <v>90</v>
      </c>
      <c r="I110" t="s">
        <v>28</v>
      </c>
      <c r="J110" s="1">
        <v>89061.29</v>
      </c>
      <c r="K110" t="s">
        <v>26</v>
      </c>
      <c r="L110">
        <v>175733</v>
      </c>
      <c r="M110" t="str">
        <f>"GUIDE FEE 1/7 TOH KIM HOCK"</f>
        <v>GUIDE FEE 1/7 TOH KIM HOCK</v>
      </c>
      <c r="O110">
        <v>1</v>
      </c>
      <c r="P110" t="str">
        <f>"PGTEFT2458"</f>
        <v>PGTEFT2458</v>
      </c>
      <c r="Q110" t="str">
        <f>"INV109T"</f>
        <v>INV109T</v>
      </c>
    </row>
    <row r="111" spans="1:17" hidden="1" x14ac:dyDescent="0.25">
      <c r="A111">
        <v>8003879954</v>
      </c>
      <c r="B111">
        <v>17</v>
      </c>
      <c r="C111">
        <v>20072017</v>
      </c>
      <c r="D111">
        <v>345</v>
      </c>
      <c r="E111" t="str">
        <f>"TR TO SAVINGS"</f>
        <v>TR TO SAVINGS</v>
      </c>
      <c r="F111">
        <v>9938</v>
      </c>
      <c r="G111" t="str">
        <f>"18890864"</f>
        <v>18890864</v>
      </c>
      <c r="H111" s="1">
        <v>221.52</v>
      </c>
      <c r="I111" t="s">
        <v>28</v>
      </c>
      <c r="J111" s="1">
        <v>89151.29</v>
      </c>
      <c r="K111" t="s">
        <v>26</v>
      </c>
      <c r="L111">
        <v>175731</v>
      </c>
      <c r="M111" t="str">
        <f>"PTE SEREMBAN LIM YEE HARNG"</f>
        <v>PTE SEREMBAN LIM YEE HARNG</v>
      </c>
      <c r="O111">
        <v>1</v>
      </c>
      <c r="P111" t="str">
        <f>"PGTEFT2454"</f>
        <v>PGTEFT2454</v>
      </c>
      <c r="Q111" t="str">
        <f>"CLAIMS"</f>
        <v>CLAIMS</v>
      </c>
    </row>
    <row r="112" spans="1:17" hidden="1" x14ac:dyDescent="0.25">
      <c r="A112">
        <v>8003879954</v>
      </c>
      <c r="B112">
        <v>16</v>
      </c>
      <c r="C112">
        <v>20072017</v>
      </c>
      <c r="D112">
        <v>345</v>
      </c>
      <c r="E112" t="str">
        <f>"TR TO SAVINGS"</f>
        <v>TR TO SAVINGS</v>
      </c>
      <c r="F112">
        <v>9938</v>
      </c>
      <c r="G112" t="str">
        <f>"18891693"</f>
        <v>18891693</v>
      </c>
      <c r="H112" s="1">
        <v>144.55000000000001</v>
      </c>
      <c r="I112" t="s">
        <v>28</v>
      </c>
      <c r="J112" s="1">
        <v>89372.81</v>
      </c>
      <c r="K112" t="s">
        <v>26</v>
      </c>
      <c r="L112">
        <v>175731</v>
      </c>
      <c r="M112" t="str">
        <f>"ITE HK LEONG WEI LENG"</f>
        <v>ITE HK LEONG WEI LENG</v>
      </c>
      <c r="O112">
        <v>1</v>
      </c>
      <c r="P112" t="str">
        <f>"PGTEFT2455"</f>
        <v>PGTEFT2455</v>
      </c>
      <c r="Q112" t="str">
        <f>"CLAIMS"</f>
        <v>CLAIMS</v>
      </c>
    </row>
    <row r="113" spans="1:18" hidden="1" x14ac:dyDescent="0.25">
      <c r="A113">
        <v>8003879954</v>
      </c>
      <c r="B113">
        <v>15</v>
      </c>
      <c r="C113">
        <v>20072017</v>
      </c>
      <c r="D113">
        <v>341</v>
      </c>
      <c r="E113" t="str">
        <f>"TR IBG"</f>
        <v>TR IBG</v>
      </c>
      <c r="F113">
        <v>9938</v>
      </c>
      <c r="G113" t="str">
        <f>"18889824"</f>
        <v>18889824</v>
      </c>
      <c r="H113" s="1">
        <v>6974.8</v>
      </c>
      <c r="I113" t="s">
        <v>28</v>
      </c>
      <c r="J113" s="1">
        <v>89517.36</v>
      </c>
      <c r="K113" t="s">
        <v>26</v>
      </c>
      <c r="L113">
        <v>175731</v>
      </c>
      <c r="M113" t="str">
        <f>"TWO PRO PRINT SERVIC"</f>
        <v>TWO PRO PRINT SERVIC</v>
      </c>
      <c r="O113">
        <v>1</v>
      </c>
      <c r="P113" t="str">
        <f>"PGTEFT2460"</f>
        <v>PGTEFT2460</v>
      </c>
      <c r="Q113" t="str">
        <f>"INV1450"</f>
        <v>INV1450</v>
      </c>
    </row>
    <row r="114" spans="1:18" x14ac:dyDescent="0.25">
      <c r="A114">
        <v>8003879954</v>
      </c>
      <c r="B114">
        <v>14</v>
      </c>
      <c r="C114">
        <v>20072017</v>
      </c>
      <c r="D114">
        <v>299</v>
      </c>
      <c r="E114" t="str">
        <f>"GST"</f>
        <v>GST</v>
      </c>
      <c r="F114">
        <v>9938</v>
      </c>
      <c r="G114" t="str">
        <f>"18889824"</f>
        <v>18889824</v>
      </c>
      <c r="H114" s="1">
        <v>0.01</v>
      </c>
      <c r="I114" t="s">
        <v>28</v>
      </c>
      <c r="J114" s="1">
        <v>96492.160000000003</v>
      </c>
      <c r="K114" t="s">
        <v>26</v>
      </c>
      <c r="L114">
        <v>175731</v>
      </c>
      <c r="M114" t="str">
        <f>"PGTEFT2460          INV1450"</f>
        <v>PGTEFT2460          INV1450</v>
      </c>
      <c r="O114">
        <v>1</v>
      </c>
    </row>
    <row r="115" spans="1:18" hidden="1" x14ac:dyDescent="0.25">
      <c r="A115">
        <v>8003879954</v>
      </c>
      <c r="B115">
        <v>13</v>
      </c>
      <c r="C115">
        <v>20072017</v>
      </c>
      <c r="D115">
        <v>489</v>
      </c>
      <c r="E115" t="str">
        <f>"OTHER TRANSFER FEE"</f>
        <v>OTHER TRANSFER FEE</v>
      </c>
      <c r="F115">
        <v>9938</v>
      </c>
      <c r="G115" t="str">
        <f>"18889824"</f>
        <v>18889824</v>
      </c>
      <c r="H115" s="1">
        <v>0.1</v>
      </c>
      <c r="I115" t="s">
        <v>28</v>
      </c>
      <c r="J115" s="1">
        <v>96492.17</v>
      </c>
      <c r="K115" t="s">
        <v>26</v>
      </c>
      <c r="L115">
        <v>175731</v>
      </c>
      <c r="M115" t="str">
        <f>"PGTEFT2460          INV1450"</f>
        <v>PGTEFT2460          INV1450</v>
      </c>
      <c r="O115">
        <v>1</v>
      </c>
    </row>
    <row r="116" spans="1:18" hidden="1" x14ac:dyDescent="0.25">
      <c r="A116">
        <v>8003879954</v>
      </c>
      <c r="B116">
        <v>12</v>
      </c>
      <c r="C116">
        <v>20072017</v>
      </c>
      <c r="D116">
        <v>345</v>
      </c>
      <c r="E116" t="str">
        <f>"TR TO SAVINGS"</f>
        <v>TR TO SAVINGS</v>
      </c>
      <c r="F116">
        <v>9938</v>
      </c>
      <c r="G116" t="str">
        <f>"18891128"</f>
        <v>18891128</v>
      </c>
      <c r="H116" s="1">
        <v>1721.21</v>
      </c>
      <c r="I116" t="s">
        <v>28</v>
      </c>
      <c r="J116" s="1">
        <v>96492.27</v>
      </c>
      <c r="K116" t="s">
        <v>26</v>
      </c>
      <c r="L116">
        <v>175729</v>
      </c>
      <c r="M116" t="str">
        <f>"PAM &amp; SQ FUKUOKA FAM JOANNE KHOO ROU YAN"</f>
        <v>PAM &amp; SQ FUKUOKA FAM JOANNE KHOO ROU YAN</v>
      </c>
      <c r="O116">
        <v>1</v>
      </c>
      <c r="P116" t="str">
        <f>"PGTEFT2452"</f>
        <v>PGTEFT2452</v>
      </c>
      <c r="Q116" t="str">
        <f>"CLAIMS AND ADVANCE"</f>
        <v>CLAIMS AND ADVANCE</v>
      </c>
    </row>
    <row r="117" spans="1:18" hidden="1" x14ac:dyDescent="0.25">
      <c r="A117">
        <v>8003879954</v>
      </c>
      <c r="B117">
        <v>11</v>
      </c>
      <c r="C117">
        <v>20072017</v>
      </c>
      <c r="D117">
        <v>345</v>
      </c>
      <c r="E117" t="str">
        <f>"TR TO SAVINGS"</f>
        <v>TR TO SAVINGS</v>
      </c>
      <c r="F117">
        <v>9938</v>
      </c>
      <c r="G117" t="str">
        <f>"18889970"</f>
        <v>18889970</v>
      </c>
      <c r="H117" s="1">
        <v>1117.5899999999999</v>
      </c>
      <c r="I117" t="s">
        <v>28</v>
      </c>
      <c r="J117" s="1">
        <v>98213.48</v>
      </c>
      <c r="K117" t="s">
        <v>26</v>
      </c>
      <c r="L117">
        <v>175729</v>
      </c>
      <c r="M117" t="str">
        <f>"ITE HK &amp; PTE MALAKA THOY SIEW PING"</f>
        <v>ITE HK &amp; PTE MALAKA THOY SIEW PING</v>
      </c>
      <c r="O117">
        <v>1</v>
      </c>
      <c r="P117" t="str">
        <f>"PGTEFT2459"</f>
        <v>PGTEFT2459</v>
      </c>
      <c r="Q117" t="str">
        <f>"CLAIMS"</f>
        <v>CLAIMS</v>
      </c>
    </row>
    <row r="118" spans="1:18" hidden="1" x14ac:dyDescent="0.25">
      <c r="A118">
        <v>8003879954</v>
      </c>
      <c r="B118">
        <v>10</v>
      </c>
      <c r="C118">
        <v>20072017</v>
      </c>
      <c r="D118">
        <v>341</v>
      </c>
      <c r="E118" t="str">
        <f>"TR IBG"</f>
        <v>TR IBG</v>
      </c>
      <c r="F118">
        <v>9938</v>
      </c>
      <c r="G118" t="str">
        <f>"18890920"</f>
        <v>18890920</v>
      </c>
      <c r="H118" s="1">
        <v>180</v>
      </c>
      <c r="I118" t="s">
        <v>28</v>
      </c>
      <c r="J118" s="1">
        <v>99331.07</v>
      </c>
      <c r="K118" t="s">
        <v>26</v>
      </c>
      <c r="L118">
        <v>175729</v>
      </c>
      <c r="M118" t="str">
        <f>"LIANG CHOW MING"</f>
        <v>LIANG CHOW MING</v>
      </c>
      <c r="O118">
        <v>1</v>
      </c>
      <c r="P118" t="str">
        <f>"PGTEFT2453"</f>
        <v>PGTEFT2453</v>
      </c>
      <c r="Q118" t="str">
        <f>"INV19525"</f>
        <v>INV19525</v>
      </c>
    </row>
    <row r="119" spans="1:18" x14ac:dyDescent="0.25">
      <c r="A119">
        <v>8003879954</v>
      </c>
      <c r="B119">
        <v>9</v>
      </c>
      <c r="C119">
        <v>20072017</v>
      </c>
      <c r="D119">
        <v>299</v>
      </c>
      <c r="E119" t="str">
        <f>"GST"</f>
        <v>GST</v>
      </c>
      <c r="F119">
        <v>9938</v>
      </c>
      <c r="G119" t="str">
        <f>"18890920"</f>
        <v>18890920</v>
      </c>
      <c r="H119" s="1">
        <v>0.01</v>
      </c>
      <c r="I119" t="s">
        <v>28</v>
      </c>
      <c r="J119" s="1">
        <v>99511.07</v>
      </c>
      <c r="K119" t="s">
        <v>26</v>
      </c>
      <c r="L119">
        <v>175729</v>
      </c>
      <c r="M119" t="str">
        <f>"PGTEFT2453          INV19525"</f>
        <v>PGTEFT2453          INV19525</v>
      </c>
      <c r="O119">
        <v>1</v>
      </c>
    </row>
    <row r="120" spans="1:18" hidden="1" x14ac:dyDescent="0.25">
      <c r="A120">
        <v>8003879954</v>
      </c>
      <c r="B120">
        <v>8</v>
      </c>
      <c r="C120">
        <v>20072017</v>
      </c>
      <c r="D120">
        <v>489</v>
      </c>
      <c r="E120" t="str">
        <f>"OTHER TRANSFER FEE"</f>
        <v>OTHER TRANSFER FEE</v>
      </c>
      <c r="F120">
        <v>9938</v>
      </c>
      <c r="G120" t="str">
        <f>"18890920"</f>
        <v>18890920</v>
      </c>
      <c r="H120" s="1">
        <v>0.1</v>
      </c>
      <c r="I120" t="s">
        <v>28</v>
      </c>
      <c r="J120" s="1">
        <v>99511.08</v>
      </c>
      <c r="K120" t="s">
        <v>26</v>
      </c>
      <c r="L120">
        <v>175729</v>
      </c>
      <c r="M120" t="str">
        <f>"PGTEFT2453          INV19525"</f>
        <v>PGTEFT2453          INV19525</v>
      </c>
      <c r="O120">
        <v>1</v>
      </c>
    </row>
    <row r="121" spans="1:18" hidden="1" x14ac:dyDescent="0.25">
      <c r="A121">
        <v>8003879954</v>
      </c>
      <c r="B121">
        <v>7</v>
      </c>
      <c r="C121">
        <v>20072017</v>
      </c>
      <c r="D121">
        <v>341</v>
      </c>
      <c r="E121" t="str">
        <f>"TR IBG"</f>
        <v>TR IBG</v>
      </c>
      <c r="F121">
        <v>9938</v>
      </c>
      <c r="G121" t="str">
        <f>"18890398"</f>
        <v>18890398</v>
      </c>
      <c r="H121" s="1">
        <v>150</v>
      </c>
      <c r="I121" t="s">
        <v>28</v>
      </c>
      <c r="J121" s="1">
        <v>99511.18</v>
      </c>
      <c r="K121" t="s">
        <v>26</v>
      </c>
      <c r="L121">
        <v>175727</v>
      </c>
      <c r="M121" t="str">
        <f>"MARZIAH BINTI MOHAME"</f>
        <v>MARZIAH BINTI MOHAME</v>
      </c>
      <c r="O121">
        <v>1</v>
      </c>
      <c r="P121" t="str">
        <f>"PGTEFT2456"</f>
        <v>PGTEFT2456</v>
      </c>
      <c r="Q121" t="str">
        <f>"AB0003"</f>
        <v>AB0003</v>
      </c>
    </row>
    <row r="122" spans="1:18" x14ac:dyDescent="0.25">
      <c r="A122">
        <v>8003879954</v>
      </c>
      <c r="B122">
        <v>6</v>
      </c>
      <c r="C122">
        <v>20072017</v>
      </c>
      <c r="D122">
        <v>299</v>
      </c>
      <c r="E122" t="str">
        <f>"GST"</f>
        <v>GST</v>
      </c>
      <c r="F122">
        <v>9938</v>
      </c>
      <c r="G122" t="str">
        <f>"18890398"</f>
        <v>18890398</v>
      </c>
      <c r="H122" s="1">
        <v>0.01</v>
      </c>
      <c r="I122" t="s">
        <v>28</v>
      </c>
      <c r="J122" s="1">
        <v>99661.18</v>
      </c>
      <c r="K122" t="s">
        <v>26</v>
      </c>
      <c r="L122">
        <v>175727</v>
      </c>
      <c r="M122" t="str">
        <f>"PGTEFT2456          AB0003"</f>
        <v>PGTEFT2456          AB0003</v>
      </c>
      <c r="O122">
        <v>1</v>
      </c>
    </row>
    <row r="123" spans="1:18" hidden="1" x14ac:dyDescent="0.25">
      <c r="A123">
        <v>8003879954</v>
      </c>
      <c r="B123">
        <v>5</v>
      </c>
      <c r="C123">
        <v>20072017</v>
      </c>
      <c r="D123">
        <v>489</v>
      </c>
      <c r="E123" t="str">
        <f>"OTHER TRANSFER FEE"</f>
        <v>OTHER TRANSFER FEE</v>
      </c>
      <c r="F123">
        <v>9938</v>
      </c>
      <c r="G123" t="str">
        <f>"18890398"</f>
        <v>18890398</v>
      </c>
      <c r="H123" s="1">
        <v>0.1</v>
      </c>
      <c r="I123" t="s">
        <v>28</v>
      </c>
      <c r="J123" s="1">
        <v>99661.19</v>
      </c>
      <c r="K123" t="s">
        <v>26</v>
      </c>
      <c r="L123">
        <v>175727</v>
      </c>
      <c r="M123" t="str">
        <f>"PGTEFT2456          AB0003"</f>
        <v>PGTEFT2456          AB0003</v>
      </c>
      <c r="O123">
        <v>1</v>
      </c>
    </row>
    <row r="124" spans="1:18" hidden="1" x14ac:dyDescent="0.25">
      <c r="A124">
        <v>8003879954</v>
      </c>
      <c r="B124">
        <v>4</v>
      </c>
      <c r="C124">
        <v>20072017</v>
      </c>
      <c r="D124">
        <v>341</v>
      </c>
      <c r="E124" t="str">
        <f>"TR IBG"</f>
        <v>TR IBG</v>
      </c>
      <c r="F124">
        <v>9938</v>
      </c>
      <c r="G124" t="str">
        <f>"18891204"</f>
        <v>18891204</v>
      </c>
      <c r="H124" s="1">
        <v>339.2</v>
      </c>
      <c r="I124" t="s">
        <v>28</v>
      </c>
      <c r="J124" s="1">
        <v>99661.29</v>
      </c>
      <c r="K124" t="s">
        <v>26</v>
      </c>
      <c r="L124">
        <v>175727</v>
      </c>
      <c r="M124" t="str">
        <f>"FUJI XEROX ASIA PACI"</f>
        <v>FUJI XEROX ASIA PACI</v>
      </c>
      <c r="O124">
        <v>1</v>
      </c>
      <c r="P124" t="str">
        <f>"PGTEFT2450"</f>
        <v>PGTEFT2450</v>
      </c>
      <c r="Q124" t="str">
        <f>"INV301258285"</f>
        <v>INV301258285</v>
      </c>
    </row>
    <row r="125" spans="1:18" x14ac:dyDescent="0.25">
      <c r="A125">
        <v>8003879954</v>
      </c>
      <c r="B125">
        <v>3</v>
      </c>
      <c r="C125">
        <v>20072017</v>
      </c>
      <c r="D125">
        <v>299</v>
      </c>
      <c r="E125" t="str">
        <f>"GST"</f>
        <v>GST</v>
      </c>
      <c r="F125">
        <v>9938</v>
      </c>
      <c r="G125" t="str">
        <f>"18891204"</f>
        <v>18891204</v>
      </c>
      <c r="H125" s="1">
        <v>0.01</v>
      </c>
      <c r="I125" t="s">
        <v>28</v>
      </c>
      <c r="J125" s="1">
        <v>100000.49</v>
      </c>
      <c r="K125" t="s">
        <v>26</v>
      </c>
      <c r="L125">
        <v>175727</v>
      </c>
      <c r="M125" t="str">
        <f>"PGTEFT2450          INV301258285"</f>
        <v>PGTEFT2450          INV301258285</v>
      </c>
      <c r="O125">
        <v>1</v>
      </c>
    </row>
    <row r="126" spans="1:18" hidden="1" x14ac:dyDescent="0.25">
      <c r="A126">
        <v>8003879954</v>
      </c>
      <c r="B126">
        <v>2</v>
      </c>
      <c r="C126">
        <v>20072017</v>
      </c>
      <c r="D126">
        <v>489</v>
      </c>
      <c r="E126" t="str">
        <f>"OTHER TRANSFER FEE"</f>
        <v>OTHER TRANSFER FEE</v>
      </c>
      <c r="F126">
        <v>9938</v>
      </c>
      <c r="G126" t="str">
        <f>"18891204"</f>
        <v>18891204</v>
      </c>
      <c r="H126" s="1">
        <v>0.1</v>
      </c>
      <c r="I126" t="s">
        <v>28</v>
      </c>
      <c r="J126" s="1">
        <v>100000.5</v>
      </c>
      <c r="K126" t="s">
        <v>26</v>
      </c>
      <c r="L126">
        <v>175727</v>
      </c>
      <c r="M126" t="str">
        <f>"PGTEFT2450          INV301258285"</f>
        <v>PGTEFT2450          INV301258285</v>
      </c>
      <c r="O126">
        <v>1</v>
      </c>
    </row>
    <row r="127" spans="1:18" hidden="1" x14ac:dyDescent="0.25">
      <c r="A127">
        <v>8003879954</v>
      </c>
      <c r="B127">
        <v>1</v>
      </c>
      <c r="C127">
        <v>20072017</v>
      </c>
      <c r="D127">
        <v>141</v>
      </c>
      <c r="E127" t="str">
        <f>"AUTOPAY CR"</f>
        <v>AUTOPAY CR</v>
      </c>
      <c r="F127">
        <v>2001</v>
      </c>
      <c r="G127" t="str">
        <f>"PV 1707268 I"</f>
        <v>PV 1707268 I</v>
      </c>
      <c r="H127" s="1">
        <v>2000</v>
      </c>
      <c r="I127" t="s">
        <v>26</v>
      </c>
      <c r="J127" s="1">
        <v>100000.6</v>
      </c>
      <c r="K127" t="s">
        <v>26</v>
      </c>
      <c r="L127">
        <v>174921</v>
      </c>
      <c r="M127" t="str">
        <f>"PV 1707268 IBG"</f>
        <v>PV 1707268 IBG</v>
      </c>
      <c r="O127">
        <v>1</v>
      </c>
      <c r="P127" t="str">
        <f>"PV 1707268 IBG"</f>
        <v>PV 1707268 IBG</v>
      </c>
      <c r="Q127" t="str">
        <f>"Transfer from CIMB"</f>
        <v>Transfer from CIMB</v>
      </c>
      <c r="R127" t="str">
        <f>"PENANG MEDICAL COLLE"</f>
        <v>PENANG MEDICAL COLLE</v>
      </c>
    </row>
    <row r="128" spans="1:18" x14ac:dyDescent="0.25">
      <c r="A128">
        <v>8003879954</v>
      </c>
      <c r="B128">
        <v>10</v>
      </c>
      <c r="C128">
        <v>19072017</v>
      </c>
      <c r="D128">
        <v>299</v>
      </c>
      <c r="E128" t="str">
        <f>"GST"</f>
        <v>GST</v>
      </c>
      <c r="H128" s="1">
        <v>0.03</v>
      </c>
      <c r="I128" t="s">
        <v>28</v>
      </c>
      <c r="J128" s="1">
        <v>98000.6</v>
      </c>
      <c r="K128" t="s">
        <v>26</v>
      </c>
      <c r="L128">
        <v>5929</v>
      </c>
      <c r="M128" t="str">
        <f>""</f>
        <v/>
      </c>
      <c r="O128">
        <v>1</v>
      </c>
    </row>
    <row r="129" spans="1:17" hidden="1" x14ac:dyDescent="0.25">
      <c r="A129">
        <v>8003879954</v>
      </c>
      <c r="B129">
        <v>9</v>
      </c>
      <c r="C129">
        <v>19072017</v>
      </c>
      <c r="D129">
        <v>819</v>
      </c>
      <c r="E129" t="str">
        <f>"CHQ PROCESSING FEE"</f>
        <v>CHQ PROCESSING FEE</v>
      </c>
      <c r="H129" s="1">
        <v>0.5</v>
      </c>
      <c r="I129" t="s">
        <v>28</v>
      </c>
      <c r="J129" s="1">
        <v>98000.63</v>
      </c>
      <c r="K129" t="s">
        <v>26</v>
      </c>
      <c r="L129">
        <v>5929</v>
      </c>
      <c r="M129" t="str">
        <f>""</f>
        <v/>
      </c>
      <c r="O129">
        <v>1</v>
      </c>
    </row>
    <row r="130" spans="1:17" hidden="1" x14ac:dyDescent="0.25">
      <c r="A130">
        <v>8003879954</v>
      </c>
      <c r="B130">
        <v>8</v>
      </c>
      <c r="C130">
        <v>19072017</v>
      </c>
      <c r="D130">
        <v>323</v>
      </c>
      <c r="E130" t="str">
        <f>"CLRG CHQ DR"</f>
        <v>CLRG CHQ DR</v>
      </c>
      <c r="F130">
        <v>0</v>
      </c>
      <c r="G130" t="str">
        <f>"00687986"</f>
        <v>00687986</v>
      </c>
      <c r="H130" s="1">
        <v>2400000</v>
      </c>
      <c r="I130" t="s">
        <v>28</v>
      </c>
      <c r="J130" s="1">
        <v>98001.13</v>
      </c>
      <c r="K130" t="s">
        <v>26</v>
      </c>
      <c r="L130">
        <v>5808</v>
      </c>
      <c r="M130" t="str">
        <f>""</f>
        <v/>
      </c>
      <c r="O130">
        <v>1</v>
      </c>
    </row>
    <row r="131" spans="1:17" hidden="1" x14ac:dyDescent="0.25">
      <c r="A131">
        <v>8003879954</v>
      </c>
      <c r="B131">
        <v>7</v>
      </c>
      <c r="C131">
        <v>19072017</v>
      </c>
      <c r="D131">
        <v>341</v>
      </c>
      <c r="E131" t="str">
        <f>"TR IBG"</f>
        <v>TR IBG</v>
      </c>
      <c r="F131">
        <v>9938</v>
      </c>
      <c r="G131" t="str">
        <f>"18852643"</f>
        <v>18852643</v>
      </c>
      <c r="H131" s="1">
        <v>363</v>
      </c>
      <c r="I131" t="s">
        <v>28</v>
      </c>
      <c r="J131" s="1">
        <v>2498001.13</v>
      </c>
      <c r="K131" t="s">
        <v>26</v>
      </c>
      <c r="L131">
        <v>183004</v>
      </c>
      <c r="M131" t="str">
        <f>"ET HOSPITALITY VENTU"</f>
        <v>ET HOSPITALITY VENTU</v>
      </c>
      <c r="O131">
        <v>1</v>
      </c>
      <c r="P131" t="str">
        <f>"PGTEFT2448"</f>
        <v>PGTEFT2448</v>
      </c>
      <c r="Q131" t="str">
        <f>"12017GST1040"</f>
        <v>12017GST1040</v>
      </c>
    </row>
    <row r="132" spans="1:17" x14ac:dyDescent="0.25">
      <c r="A132">
        <v>8003879954</v>
      </c>
      <c r="B132">
        <v>6</v>
      </c>
      <c r="C132">
        <v>19072017</v>
      </c>
      <c r="D132">
        <v>299</v>
      </c>
      <c r="E132" t="str">
        <f>"GST"</f>
        <v>GST</v>
      </c>
      <c r="F132">
        <v>9938</v>
      </c>
      <c r="G132" t="str">
        <f>"18852643"</f>
        <v>18852643</v>
      </c>
      <c r="H132" s="1">
        <v>0.01</v>
      </c>
      <c r="I132" t="s">
        <v>28</v>
      </c>
      <c r="J132" s="1">
        <v>2498364.13</v>
      </c>
      <c r="K132" t="s">
        <v>26</v>
      </c>
      <c r="L132">
        <v>183004</v>
      </c>
      <c r="M132" t="str">
        <f>"PGTEFT2448          12017GST1040"</f>
        <v>PGTEFT2448          12017GST1040</v>
      </c>
      <c r="O132">
        <v>1</v>
      </c>
    </row>
    <row r="133" spans="1:17" hidden="1" x14ac:dyDescent="0.25">
      <c r="A133">
        <v>8003879954</v>
      </c>
      <c r="B133">
        <v>5</v>
      </c>
      <c r="C133">
        <v>19072017</v>
      </c>
      <c r="D133">
        <v>489</v>
      </c>
      <c r="E133" t="str">
        <f>"OTHER TRANSFER FEE"</f>
        <v>OTHER TRANSFER FEE</v>
      </c>
      <c r="F133">
        <v>9938</v>
      </c>
      <c r="G133" t="str">
        <f>"18852643"</f>
        <v>18852643</v>
      </c>
      <c r="H133" s="1">
        <v>0.1</v>
      </c>
      <c r="I133" t="s">
        <v>28</v>
      </c>
      <c r="J133" s="1">
        <v>2498364.14</v>
      </c>
      <c r="K133" t="s">
        <v>26</v>
      </c>
      <c r="L133">
        <v>183004</v>
      </c>
      <c r="M133" t="str">
        <f>"PGTEFT2448          12017GST1040"</f>
        <v>PGTEFT2448          12017GST1040</v>
      </c>
      <c r="O133">
        <v>1</v>
      </c>
    </row>
    <row r="134" spans="1:17" hidden="1" x14ac:dyDescent="0.25">
      <c r="A134">
        <v>8003879954</v>
      </c>
      <c r="B134">
        <v>4</v>
      </c>
      <c r="C134">
        <v>19072017</v>
      </c>
      <c r="D134">
        <v>345</v>
      </c>
      <c r="E134" t="str">
        <f>"TR TO SAVINGS"</f>
        <v>TR TO SAVINGS</v>
      </c>
      <c r="F134">
        <v>9938</v>
      </c>
      <c r="G134" t="str">
        <f>"18852701"</f>
        <v>18852701</v>
      </c>
      <c r="H134" s="1">
        <v>270</v>
      </c>
      <c r="I134" t="s">
        <v>28</v>
      </c>
      <c r="J134" s="1">
        <v>2498364.2400000002</v>
      </c>
      <c r="K134" t="s">
        <v>26</v>
      </c>
      <c r="L134">
        <v>183003</v>
      </c>
      <c r="M134" t="str">
        <f>"RELA ALLOWANCE AZFALYZA BINTI ABDU"</f>
        <v>RELA ALLOWANCE AZFALYZA BINTI ABDU</v>
      </c>
      <c r="O134">
        <v>1</v>
      </c>
      <c r="P134" t="str">
        <f>"PGTEFT2447"</f>
        <v>PGTEFT2447</v>
      </c>
      <c r="Q134" t="str">
        <f>"CLAIMS"</f>
        <v>CLAIMS</v>
      </c>
    </row>
    <row r="135" spans="1:17" hidden="1" x14ac:dyDescent="0.25">
      <c r="A135">
        <v>8003879954</v>
      </c>
      <c r="B135">
        <v>3</v>
      </c>
      <c r="C135">
        <v>19072017</v>
      </c>
      <c r="D135">
        <v>341</v>
      </c>
      <c r="E135" t="str">
        <f>"TR IBG"</f>
        <v>TR IBG</v>
      </c>
      <c r="F135">
        <v>9938</v>
      </c>
      <c r="G135" t="str">
        <f>"18852555"</f>
        <v>18852555</v>
      </c>
      <c r="H135" s="1">
        <v>4680</v>
      </c>
      <c r="I135" t="s">
        <v>28</v>
      </c>
      <c r="J135" s="1">
        <v>2498634.2400000002</v>
      </c>
      <c r="K135" t="s">
        <v>26</v>
      </c>
      <c r="L135">
        <v>183002</v>
      </c>
      <c r="M135" t="str">
        <f>"GOLDEN SANDS BEACH R"</f>
        <v>GOLDEN SANDS BEACH R</v>
      </c>
      <c r="O135">
        <v>1</v>
      </c>
      <c r="P135" t="str">
        <f>"PGTEFT2449"</f>
        <v>PGTEFT2449</v>
      </c>
      <c r="Q135" t="str">
        <f>"PROFORMA INV"</f>
        <v>PROFORMA INV</v>
      </c>
    </row>
    <row r="136" spans="1:17" x14ac:dyDescent="0.25">
      <c r="A136">
        <v>8003879954</v>
      </c>
      <c r="B136">
        <v>2</v>
      </c>
      <c r="C136">
        <v>19072017</v>
      </c>
      <c r="D136">
        <v>299</v>
      </c>
      <c r="E136" t="str">
        <f>"GST"</f>
        <v>GST</v>
      </c>
      <c r="F136">
        <v>9938</v>
      </c>
      <c r="G136" t="str">
        <f>"18852555"</f>
        <v>18852555</v>
      </c>
      <c r="H136" s="1">
        <v>0.01</v>
      </c>
      <c r="I136" t="s">
        <v>28</v>
      </c>
      <c r="J136" s="1">
        <v>2503314.2400000002</v>
      </c>
      <c r="K136" t="s">
        <v>26</v>
      </c>
      <c r="L136">
        <v>183002</v>
      </c>
      <c r="M136" t="str">
        <f>"PGTEFT2449          PROFORMA INV"</f>
        <v>PGTEFT2449          PROFORMA INV</v>
      </c>
      <c r="O136">
        <v>1</v>
      </c>
    </row>
    <row r="137" spans="1:17" hidden="1" x14ac:dyDescent="0.25">
      <c r="A137">
        <v>8003879954</v>
      </c>
      <c r="B137">
        <v>1</v>
      </c>
      <c r="C137">
        <v>19072017</v>
      </c>
      <c r="D137">
        <v>489</v>
      </c>
      <c r="E137" t="str">
        <f>"OTHER TRANSFER FEE"</f>
        <v>OTHER TRANSFER FEE</v>
      </c>
      <c r="F137">
        <v>9938</v>
      </c>
      <c r="G137" t="str">
        <f>"18852555"</f>
        <v>18852555</v>
      </c>
      <c r="H137" s="1">
        <v>0.1</v>
      </c>
      <c r="I137" t="s">
        <v>28</v>
      </c>
      <c r="J137" s="1">
        <v>2503314.25</v>
      </c>
      <c r="K137" t="s">
        <v>26</v>
      </c>
      <c r="L137">
        <v>183002</v>
      </c>
      <c r="M137" t="str">
        <f>"PGTEFT2449          PROFORMA INV"</f>
        <v>PGTEFT2449          PROFORMA INV</v>
      </c>
      <c r="O137">
        <v>1</v>
      </c>
    </row>
    <row r="138" spans="1:17" x14ac:dyDescent="0.25">
      <c r="A138">
        <v>8003879954</v>
      </c>
      <c r="B138">
        <v>11</v>
      </c>
      <c r="C138">
        <v>18072017</v>
      </c>
      <c r="D138">
        <v>299</v>
      </c>
      <c r="E138" t="str">
        <f>"GST"</f>
        <v>GST</v>
      </c>
      <c r="H138" s="1">
        <v>0.06</v>
      </c>
      <c r="I138" t="s">
        <v>28</v>
      </c>
      <c r="J138" s="1">
        <v>2503314.35</v>
      </c>
      <c r="K138" t="s">
        <v>26</v>
      </c>
      <c r="L138">
        <v>5832</v>
      </c>
      <c r="M138" t="str">
        <f>""</f>
        <v/>
      </c>
      <c r="O138">
        <v>1</v>
      </c>
    </row>
    <row r="139" spans="1:17" hidden="1" x14ac:dyDescent="0.25">
      <c r="A139">
        <v>8003879954</v>
      </c>
      <c r="B139">
        <v>10</v>
      </c>
      <c r="C139">
        <v>18072017</v>
      </c>
      <c r="D139">
        <v>819</v>
      </c>
      <c r="E139" t="str">
        <f>"CHQ PROCESSING FEE"</f>
        <v>CHQ PROCESSING FEE</v>
      </c>
      <c r="H139" s="1">
        <v>1</v>
      </c>
      <c r="I139" t="s">
        <v>28</v>
      </c>
      <c r="J139" s="1">
        <v>2503314.41</v>
      </c>
      <c r="K139" t="s">
        <v>26</v>
      </c>
      <c r="L139">
        <v>5832</v>
      </c>
      <c r="M139" t="str">
        <f>""</f>
        <v/>
      </c>
      <c r="O139">
        <v>1</v>
      </c>
    </row>
    <row r="140" spans="1:17" x14ac:dyDescent="0.25">
      <c r="A140">
        <v>8003879954</v>
      </c>
      <c r="B140">
        <v>9</v>
      </c>
      <c r="C140">
        <v>18072017</v>
      </c>
      <c r="D140">
        <v>299</v>
      </c>
      <c r="E140" t="str">
        <f>"GST"</f>
        <v>GST</v>
      </c>
      <c r="H140" s="1">
        <v>0.15</v>
      </c>
      <c r="I140" t="s">
        <v>28</v>
      </c>
      <c r="J140" s="1">
        <v>2503315.41</v>
      </c>
      <c r="K140" t="s">
        <v>26</v>
      </c>
      <c r="L140">
        <v>5832</v>
      </c>
      <c r="M140" t="str">
        <f>""</f>
        <v/>
      </c>
      <c r="O140">
        <v>1</v>
      </c>
    </row>
    <row r="141" spans="1:17" hidden="1" x14ac:dyDescent="0.25">
      <c r="A141">
        <v>8003879954</v>
      </c>
      <c r="B141">
        <v>8</v>
      </c>
      <c r="C141">
        <v>18072017</v>
      </c>
      <c r="D141">
        <v>819</v>
      </c>
      <c r="E141" t="str">
        <f>"CHQ PROCESSING FEE"</f>
        <v>CHQ PROCESSING FEE</v>
      </c>
      <c r="H141" s="1">
        <v>2.5</v>
      </c>
      <c r="I141" t="s">
        <v>28</v>
      </c>
      <c r="J141" s="1">
        <v>2503315.56</v>
      </c>
      <c r="K141" t="s">
        <v>26</v>
      </c>
      <c r="L141">
        <v>5832</v>
      </c>
      <c r="M141" t="str">
        <f>""</f>
        <v/>
      </c>
      <c r="O141">
        <v>1</v>
      </c>
    </row>
    <row r="142" spans="1:17" hidden="1" x14ac:dyDescent="0.25">
      <c r="A142">
        <v>8003879954</v>
      </c>
      <c r="B142">
        <v>7</v>
      </c>
      <c r="C142">
        <v>18072017</v>
      </c>
      <c r="D142">
        <v>323</v>
      </c>
      <c r="E142" t="str">
        <f>"CLRG CHQ DR"</f>
        <v>CLRG CHQ DR</v>
      </c>
      <c r="F142">
        <v>0</v>
      </c>
      <c r="G142" t="str">
        <f>"00687987"</f>
        <v>00687987</v>
      </c>
      <c r="H142" s="1">
        <v>54259.28</v>
      </c>
      <c r="I142" t="s">
        <v>28</v>
      </c>
      <c r="J142" s="1">
        <v>2503318.06</v>
      </c>
      <c r="K142" t="s">
        <v>26</v>
      </c>
      <c r="L142">
        <v>5647</v>
      </c>
      <c r="M142" t="str">
        <f>""</f>
        <v/>
      </c>
      <c r="O142">
        <v>1</v>
      </c>
    </row>
    <row r="143" spans="1:17" hidden="1" x14ac:dyDescent="0.25">
      <c r="A143">
        <v>8003879954</v>
      </c>
      <c r="B143">
        <v>6</v>
      </c>
      <c r="C143">
        <v>18072017</v>
      </c>
      <c r="D143">
        <v>323</v>
      </c>
      <c r="E143" t="str">
        <f>"CLRG CHQ DR"</f>
        <v>CLRG CHQ DR</v>
      </c>
      <c r="F143">
        <v>0</v>
      </c>
      <c r="G143" t="str">
        <f>"00687985"</f>
        <v>00687985</v>
      </c>
      <c r="H143" s="1">
        <v>10670.67</v>
      </c>
      <c r="I143" t="s">
        <v>28</v>
      </c>
      <c r="J143" s="1">
        <v>2557577.34</v>
      </c>
      <c r="K143" t="s">
        <v>26</v>
      </c>
      <c r="L143">
        <v>5647</v>
      </c>
      <c r="M143" t="str">
        <f>""</f>
        <v/>
      </c>
      <c r="O143">
        <v>1</v>
      </c>
    </row>
    <row r="144" spans="1:17" hidden="1" x14ac:dyDescent="0.25">
      <c r="A144">
        <v>8003879954</v>
      </c>
      <c r="B144">
        <v>5</v>
      </c>
      <c r="C144">
        <v>18072017</v>
      </c>
      <c r="D144">
        <v>321</v>
      </c>
      <c r="E144" t="str">
        <f>"HOUSE CHQ DR"</f>
        <v>HOUSE CHQ DR</v>
      </c>
      <c r="F144">
        <v>0</v>
      </c>
      <c r="G144" t="str">
        <f>"00687984"</f>
        <v>00687984</v>
      </c>
      <c r="H144" s="1">
        <v>504.75</v>
      </c>
      <c r="I144" t="s">
        <v>28</v>
      </c>
      <c r="J144" s="1">
        <v>2568248.0099999998</v>
      </c>
      <c r="K144" t="s">
        <v>26</v>
      </c>
      <c r="L144">
        <v>5647</v>
      </c>
      <c r="M144" t="str">
        <f>""</f>
        <v/>
      </c>
      <c r="O144">
        <v>1</v>
      </c>
    </row>
    <row r="145" spans="1:15" hidden="1" x14ac:dyDescent="0.25">
      <c r="A145">
        <v>8003879954</v>
      </c>
      <c r="B145">
        <v>4</v>
      </c>
      <c r="C145">
        <v>18072017</v>
      </c>
      <c r="D145">
        <v>321</v>
      </c>
      <c r="E145" t="str">
        <f>"HOUSE CHQ DR"</f>
        <v>HOUSE CHQ DR</v>
      </c>
      <c r="F145">
        <v>0</v>
      </c>
      <c r="G145" t="str">
        <f>"00687983"</f>
        <v>00687983</v>
      </c>
      <c r="H145" s="1">
        <v>894.1</v>
      </c>
      <c r="I145" t="s">
        <v>28</v>
      </c>
      <c r="J145" s="1">
        <v>2568752.7599999998</v>
      </c>
      <c r="K145" t="s">
        <v>26</v>
      </c>
      <c r="L145">
        <v>5647</v>
      </c>
      <c r="M145" t="str">
        <f>""</f>
        <v/>
      </c>
      <c r="O145">
        <v>1</v>
      </c>
    </row>
    <row r="146" spans="1:15" hidden="1" x14ac:dyDescent="0.25">
      <c r="A146">
        <v>8003879954</v>
      </c>
      <c r="B146">
        <v>3</v>
      </c>
      <c r="C146">
        <v>18072017</v>
      </c>
      <c r="D146">
        <v>323</v>
      </c>
      <c r="E146" t="str">
        <f>"CLRG CHQ DR"</f>
        <v>CLRG CHQ DR</v>
      </c>
      <c r="F146">
        <v>0</v>
      </c>
      <c r="G146" t="str">
        <f>"00687982"</f>
        <v>00687982</v>
      </c>
      <c r="H146" s="1">
        <v>25000</v>
      </c>
      <c r="I146" t="s">
        <v>28</v>
      </c>
      <c r="J146" s="1">
        <v>2569646.86</v>
      </c>
      <c r="K146" t="s">
        <v>26</v>
      </c>
      <c r="L146">
        <v>5647</v>
      </c>
      <c r="M146" t="str">
        <f>""</f>
        <v/>
      </c>
      <c r="O146">
        <v>1</v>
      </c>
    </row>
    <row r="147" spans="1:15" hidden="1" x14ac:dyDescent="0.25">
      <c r="A147">
        <v>8003879954</v>
      </c>
      <c r="B147">
        <v>2</v>
      </c>
      <c r="C147">
        <v>18072017</v>
      </c>
      <c r="D147">
        <v>323</v>
      </c>
      <c r="E147" t="str">
        <f>"CLRG CHQ DR"</f>
        <v>CLRG CHQ DR</v>
      </c>
      <c r="F147">
        <v>0</v>
      </c>
      <c r="G147" t="str">
        <f>"00687981"</f>
        <v>00687981</v>
      </c>
      <c r="H147" s="1">
        <v>10660</v>
      </c>
      <c r="I147" t="s">
        <v>28</v>
      </c>
      <c r="J147" s="1">
        <v>2594646.86</v>
      </c>
      <c r="K147" t="s">
        <v>26</v>
      </c>
      <c r="L147">
        <v>5647</v>
      </c>
      <c r="M147" t="str">
        <f>""</f>
        <v/>
      </c>
      <c r="O147">
        <v>1</v>
      </c>
    </row>
    <row r="148" spans="1:15" hidden="1" x14ac:dyDescent="0.25">
      <c r="A148">
        <v>8003879954</v>
      </c>
      <c r="B148">
        <v>1</v>
      </c>
      <c r="C148">
        <v>18072017</v>
      </c>
      <c r="D148">
        <v>323</v>
      </c>
      <c r="E148" t="str">
        <f>"CLRG CHQ DR"</f>
        <v>CLRG CHQ DR</v>
      </c>
      <c r="F148">
        <v>0</v>
      </c>
      <c r="G148" t="str">
        <f>"00687980"</f>
        <v>00687980</v>
      </c>
      <c r="H148" s="1">
        <v>14224.92</v>
      </c>
      <c r="I148" t="s">
        <v>28</v>
      </c>
      <c r="J148" s="1">
        <v>2605306.86</v>
      </c>
      <c r="K148" t="s">
        <v>26</v>
      </c>
      <c r="L148">
        <v>5647</v>
      </c>
      <c r="M148" t="str">
        <f>""</f>
        <v/>
      </c>
      <c r="O148">
        <v>1</v>
      </c>
    </row>
    <row r="149" spans="1:15" hidden="1" x14ac:dyDescent="0.25">
      <c r="A149">
        <v>8003879954</v>
      </c>
      <c r="B149">
        <v>9</v>
      </c>
      <c r="C149">
        <v>14072017</v>
      </c>
      <c r="D149">
        <v>299</v>
      </c>
      <c r="E149" t="s">
        <v>44</v>
      </c>
      <c r="F149">
        <v>72</v>
      </c>
      <c r="G149" t="str">
        <f>"224451237"</f>
        <v>224451237</v>
      </c>
      <c r="H149" s="1">
        <v>0.6</v>
      </c>
      <c r="I149" t="s">
        <v>28</v>
      </c>
      <c r="J149" s="1">
        <v>2619531.7799999998</v>
      </c>
      <c r="K149" t="s">
        <v>26</v>
      </c>
      <c r="L149">
        <v>163959</v>
      </c>
      <c r="M149" t="str">
        <f>"20008140717T0178"</f>
        <v>20008140717T0178</v>
      </c>
      <c r="O149">
        <v>1</v>
      </c>
    </row>
    <row r="150" spans="1:15" hidden="1" x14ac:dyDescent="0.25">
      <c r="A150">
        <v>8003879954</v>
      </c>
      <c r="B150">
        <v>8</v>
      </c>
      <c r="C150">
        <v>14072017</v>
      </c>
      <c r="D150">
        <v>415</v>
      </c>
      <c r="E150" t="str">
        <f>"TELEX/FAX"</f>
        <v>TELEX/FAX</v>
      </c>
      <c r="F150">
        <v>72</v>
      </c>
      <c r="G150" t="str">
        <f>"224451237"</f>
        <v>224451237</v>
      </c>
      <c r="H150" s="1">
        <v>10</v>
      </c>
      <c r="I150" t="s">
        <v>28</v>
      </c>
      <c r="J150" s="1">
        <v>2619532.38</v>
      </c>
      <c r="K150" t="s">
        <v>26</v>
      </c>
      <c r="L150">
        <v>163959</v>
      </c>
      <c r="M150" t="str">
        <f>"20008140717T0178"</f>
        <v>20008140717T0178</v>
      </c>
      <c r="O150">
        <v>1</v>
      </c>
    </row>
    <row r="151" spans="1:15" hidden="1" x14ac:dyDescent="0.25">
      <c r="A151">
        <v>8003879954</v>
      </c>
      <c r="B151">
        <v>7</v>
      </c>
      <c r="C151">
        <v>14072017</v>
      </c>
      <c r="D151">
        <v>349</v>
      </c>
      <c r="E151" t="str">
        <f>"TR TO REMITT"</f>
        <v>TR TO REMITT</v>
      </c>
      <c r="F151">
        <v>72</v>
      </c>
      <c r="G151" t="str">
        <f>"224451237"</f>
        <v>224451237</v>
      </c>
      <c r="H151" s="1">
        <v>12802.45</v>
      </c>
      <c r="I151" t="s">
        <v>28</v>
      </c>
      <c r="J151" s="1">
        <v>2619542.38</v>
      </c>
      <c r="K151" t="s">
        <v>26</v>
      </c>
      <c r="L151">
        <v>163959</v>
      </c>
      <c r="M151" t="str">
        <f>"20008140717T0178"</f>
        <v>20008140717T0178</v>
      </c>
      <c r="O151">
        <v>1</v>
      </c>
    </row>
    <row r="152" spans="1:15" hidden="1" x14ac:dyDescent="0.25">
      <c r="A152">
        <v>8003879954</v>
      </c>
      <c r="B152">
        <v>6</v>
      </c>
      <c r="C152">
        <v>14072017</v>
      </c>
      <c r="D152">
        <v>299</v>
      </c>
      <c r="E152" t="s">
        <v>44</v>
      </c>
      <c r="F152">
        <v>72</v>
      </c>
      <c r="G152" t="str">
        <f>"224451243"</f>
        <v>224451243</v>
      </c>
      <c r="H152" s="1">
        <v>0.6</v>
      </c>
      <c r="I152" t="s">
        <v>28</v>
      </c>
      <c r="J152" s="1">
        <v>2632344.83</v>
      </c>
      <c r="K152" t="s">
        <v>26</v>
      </c>
      <c r="L152">
        <v>163702</v>
      </c>
      <c r="M152" t="str">
        <f>"20008140717T0172"</f>
        <v>20008140717T0172</v>
      </c>
      <c r="O152">
        <v>1</v>
      </c>
    </row>
    <row r="153" spans="1:15" hidden="1" x14ac:dyDescent="0.25">
      <c r="A153">
        <v>8003879954</v>
      </c>
      <c r="B153">
        <v>5</v>
      </c>
      <c r="C153">
        <v>14072017</v>
      </c>
      <c r="D153">
        <v>415</v>
      </c>
      <c r="E153" t="str">
        <f>"TELEX/FAX"</f>
        <v>TELEX/FAX</v>
      </c>
      <c r="F153">
        <v>72</v>
      </c>
      <c r="G153" t="str">
        <f>"224451243"</f>
        <v>224451243</v>
      </c>
      <c r="H153" s="1">
        <v>10</v>
      </c>
      <c r="I153" t="s">
        <v>28</v>
      </c>
      <c r="J153" s="1">
        <v>2632345.4300000002</v>
      </c>
      <c r="K153" t="s">
        <v>26</v>
      </c>
      <c r="L153">
        <v>163702</v>
      </c>
      <c r="M153" t="str">
        <f>"20008140717T0172"</f>
        <v>20008140717T0172</v>
      </c>
      <c r="O153">
        <v>1</v>
      </c>
    </row>
    <row r="154" spans="1:15" hidden="1" x14ac:dyDescent="0.25">
      <c r="A154">
        <v>8003879954</v>
      </c>
      <c r="B154">
        <v>4</v>
      </c>
      <c r="C154">
        <v>14072017</v>
      </c>
      <c r="D154">
        <v>349</v>
      </c>
      <c r="E154" t="str">
        <f>"TR TO REMITT"</f>
        <v>TR TO REMITT</v>
      </c>
      <c r="F154">
        <v>72</v>
      </c>
      <c r="G154" t="str">
        <f>"224451243"</f>
        <v>224451243</v>
      </c>
      <c r="H154" s="1">
        <v>79025.86</v>
      </c>
      <c r="I154" t="s">
        <v>28</v>
      </c>
      <c r="J154" s="1">
        <v>2632355.4300000002</v>
      </c>
      <c r="K154" t="s">
        <v>26</v>
      </c>
      <c r="L154">
        <v>163702</v>
      </c>
      <c r="M154" t="str">
        <f>"20008140717T0172"</f>
        <v>20008140717T0172</v>
      </c>
      <c r="O154">
        <v>1</v>
      </c>
    </row>
    <row r="155" spans="1:15" hidden="1" x14ac:dyDescent="0.25">
      <c r="A155">
        <v>8003879954</v>
      </c>
      <c r="B155">
        <v>3</v>
      </c>
      <c r="C155">
        <v>14072017</v>
      </c>
      <c r="D155">
        <v>299</v>
      </c>
      <c r="E155" t="s">
        <v>44</v>
      </c>
      <c r="F155">
        <v>72</v>
      </c>
      <c r="G155" t="str">
        <f>"200512536"</f>
        <v>200512536</v>
      </c>
      <c r="H155" s="1">
        <v>1.8</v>
      </c>
      <c r="I155" t="s">
        <v>28</v>
      </c>
      <c r="J155" s="1">
        <v>2711381.29</v>
      </c>
      <c r="K155" t="s">
        <v>26</v>
      </c>
      <c r="L155">
        <v>155055</v>
      </c>
      <c r="M155" t="str">
        <f>"20008140717T0118"</f>
        <v>20008140717T0118</v>
      </c>
      <c r="O155">
        <v>1</v>
      </c>
    </row>
    <row r="156" spans="1:15" hidden="1" x14ac:dyDescent="0.25">
      <c r="A156">
        <v>8003879954</v>
      </c>
      <c r="B156">
        <v>2</v>
      </c>
      <c r="C156">
        <v>14072017</v>
      </c>
      <c r="D156">
        <v>415</v>
      </c>
      <c r="E156" t="str">
        <f>"TELEX/FAX"</f>
        <v>TELEX/FAX</v>
      </c>
      <c r="F156">
        <v>72</v>
      </c>
      <c r="G156" t="str">
        <f>"200512536"</f>
        <v>200512536</v>
      </c>
      <c r="H156" s="1">
        <v>30</v>
      </c>
      <c r="I156" t="s">
        <v>28</v>
      </c>
      <c r="J156" s="1">
        <v>2711383.09</v>
      </c>
      <c r="K156" t="s">
        <v>26</v>
      </c>
      <c r="L156">
        <v>155055</v>
      </c>
      <c r="M156" t="str">
        <f>"20008140717T0118"</f>
        <v>20008140717T0118</v>
      </c>
      <c r="O156">
        <v>1</v>
      </c>
    </row>
    <row r="157" spans="1:15" hidden="1" x14ac:dyDescent="0.25">
      <c r="A157">
        <v>8003879954</v>
      </c>
      <c r="B157">
        <v>1</v>
      </c>
      <c r="C157">
        <v>14072017</v>
      </c>
      <c r="D157">
        <v>349</v>
      </c>
      <c r="E157" t="str">
        <f>"TR TO REMITT"</f>
        <v>TR TO REMITT</v>
      </c>
      <c r="F157">
        <v>72</v>
      </c>
      <c r="G157" t="str">
        <f>"200512536"</f>
        <v>200512536</v>
      </c>
      <c r="H157" s="1">
        <v>1004.88</v>
      </c>
      <c r="I157" t="s">
        <v>28</v>
      </c>
      <c r="J157" s="1">
        <v>2711413.09</v>
      </c>
      <c r="K157" t="s">
        <v>26</v>
      </c>
      <c r="L157">
        <v>155055</v>
      </c>
      <c r="M157" t="str">
        <f>"20008140717T0118"</f>
        <v>20008140717T0118</v>
      </c>
      <c r="O157">
        <v>1</v>
      </c>
    </row>
    <row r="158" spans="1:15" x14ac:dyDescent="0.25">
      <c r="A158">
        <v>8003879954</v>
      </c>
      <c r="B158">
        <v>77</v>
      </c>
      <c r="C158">
        <v>13072017</v>
      </c>
      <c r="D158">
        <v>299</v>
      </c>
      <c r="E158" t="s">
        <v>30</v>
      </c>
      <c r="H158" s="1">
        <v>0.03</v>
      </c>
      <c r="I158" t="s">
        <v>28</v>
      </c>
      <c r="J158" s="1">
        <v>2712417.97</v>
      </c>
      <c r="K158" t="s">
        <v>26</v>
      </c>
      <c r="L158">
        <v>11245</v>
      </c>
      <c r="M158" t="s">
        <v>53</v>
      </c>
      <c r="O158">
        <v>1</v>
      </c>
    </row>
    <row r="159" spans="1:15" hidden="1" x14ac:dyDescent="0.25">
      <c r="A159">
        <v>8003879954</v>
      </c>
      <c r="B159">
        <v>76</v>
      </c>
      <c r="C159">
        <v>13072017</v>
      </c>
      <c r="D159">
        <v>819</v>
      </c>
      <c r="E159" t="s">
        <v>32</v>
      </c>
      <c r="H159" s="1">
        <v>0.5</v>
      </c>
      <c r="I159" t="s">
        <v>28</v>
      </c>
      <c r="J159" s="1">
        <v>2712418</v>
      </c>
      <c r="K159" t="s">
        <v>26</v>
      </c>
      <c r="L159">
        <v>11245</v>
      </c>
      <c r="M159" t="s">
        <v>53</v>
      </c>
      <c r="O159">
        <v>1</v>
      </c>
    </row>
    <row r="160" spans="1:15" hidden="1" x14ac:dyDescent="0.25">
      <c r="A160">
        <v>8003879954</v>
      </c>
      <c r="B160">
        <v>75</v>
      </c>
      <c r="C160">
        <v>13072017</v>
      </c>
      <c r="D160">
        <v>323</v>
      </c>
      <c r="E160" t="s">
        <v>33</v>
      </c>
      <c r="F160">
        <v>0</v>
      </c>
      <c r="G160" t="s">
        <v>422</v>
      </c>
      <c r="H160" s="1">
        <v>170</v>
      </c>
      <c r="I160" t="s">
        <v>28</v>
      </c>
      <c r="J160" s="1">
        <v>2712418.5</v>
      </c>
      <c r="K160" t="s">
        <v>26</v>
      </c>
      <c r="L160">
        <v>11127</v>
      </c>
      <c r="M160" t="s">
        <v>53</v>
      </c>
      <c r="O160">
        <v>1</v>
      </c>
    </row>
    <row r="161" spans="1:17" hidden="1" x14ac:dyDescent="0.25">
      <c r="A161">
        <v>8003879954</v>
      </c>
      <c r="B161">
        <v>74</v>
      </c>
      <c r="C161">
        <v>13072017</v>
      </c>
      <c r="D161">
        <v>343</v>
      </c>
      <c r="E161" t="s">
        <v>49</v>
      </c>
      <c r="F161">
        <v>9938</v>
      </c>
      <c r="G161" t="s">
        <v>423</v>
      </c>
      <c r="H161" s="1">
        <v>16.25</v>
      </c>
      <c r="I161" t="s">
        <v>28</v>
      </c>
      <c r="J161" s="1">
        <v>2712588.5</v>
      </c>
      <c r="K161" t="s">
        <v>26</v>
      </c>
      <c r="L161">
        <v>183927</v>
      </c>
      <c r="M161" t="s">
        <v>150</v>
      </c>
      <c r="O161">
        <v>1</v>
      </c>
    </row>
    <row r="162" spans="1:17" hidden="1" x14ac:dyDescent="0.25">
      <c r="A162">
        <v>8003879954</v>
      </c>
      <c r="B162">
        <v>73</v>
      </c>
      <c r="C162">
        <v>13072017</v>
      </c>
      <c r="D162">
        <v>60</v>
      </c>
      <c r="E162" t="s">
        <v>43</v>
      </c>
      <c r="F162">
        <v>9938</v>
      </c>
      <c r="G162" t="s">
        <v>424</v>
      </c>
      <c r="H162" s="1">
        <v>4410.45</v>
      </c>
      <c r="I162" t="s">
        <v>28</v>
      </c>
      <c r="J162" s="1">
        <v>2712604.75</v>
      </c>
      <c r="K162" t="s">
        <v>26</v>
      </c>
      <c r="L162">
        <v>183924</v>
      </c>
      <c r="M162" t="s">
        <v>425</v>
      </c>
      <c r="O162">
        <v>1</v>
      </c>
      <c r="P162" t="s">
        <v>426</v>
      </c>
      <c r="Q162" t="s">
        <v>427</v>
      </c>
    </row>
    <row r="163" spans="1:17" hidden="1" x14ac:dyDescent="0.25">
      <c r="A163">
        <v>8003879954</v>
      </c>
      <c r="B163">
        <v>72</v>
      </c>
      <c r="C163">
        <v>13072017</v>
      </c>
      <c r="D163">
        <v>343</v>
      </c>
      <c r="E163" t="s">
        <v>49</v>
      </c>
      <c r="F163">
        <v>9938</v>
      </c>
      <c r="G163" t="s">
        <v>428</v>
      </c>
      <c r="H163" s="1">
        <v>1031.8</v>
      </c>
      <c r="I163" t="s">
        <v>28</v>
      </c>
      <c r="J163" s="1">
        <v>2717015.2</v>
      </c>
      <c r="K163" t="s">
        <v>26</v>
      </c>
      <c r="L163">
        <v>183446</v>
      </c>
      <c r="M163" t="s">
        <v>152</v>
      </c>
      <c r="O163">
        <v>1</v>
      </c>
    </row>
    <row r="164" spans="1:17" hidden="1" x14ac:dyDescent="0.25">
      <c r="A164">
        <v>8003879954</v>
      </c>
      <c r="B164">
        <v>71</v>
      </c>
      <c r="C164">
        <v>13072017</v>
      </c>
      <c r="D164">
        <v>60</v>
      </c>
      <c r="E164" t="s">
        <v>43</v>
      </c>
      <c r="F164">
        <v>9938</v>
      </c>
      <c r="G164" t="s">
        <v>429</v>
      </c>
      <c r="H164" s="1">
        <v>900</v>
      </c>
      <c r="I164" t="s">
        <v>28</v>
      </c>
      <c r="J164" s="1">
        <v>2718047</v>
      </c>
      <c r="K164" t="s">
        <v>26</v>
      </c>
      <c r="L164">
        <v>183444</v>
      </c>
      <c r="M164" t="s">
        <v>430</v>
      </c>
      <c r="O164">
        <v>1</v>
      </c>
      <c r="P164" t="s">
        <v>431</v>
      </c>
    </row>
    <row r="165" spans="1:17" hidden="1" x14ac:dyDescent="0.25">
      <c r="A165">
        <v>8003879954</v>
      </c>
      <c r="B165">
        <v>70</v>
      </c>
      <c r="C165">
        <v>13072017</v>
      </c>
      <c r="D165">
        <v>341</v>
      </c>
      <c r="E165" t="s">
        <v>29</v>
      </c>
      <c r="F165">
        <v>9938</v>
      </c>
      <c r="G165" t="s">
        <v>432</v>
      </c>
      <c r="H165" s="1">
        <v>4618.01</v>
      </c>
      <c r="I165" t="s">
        <v>28</v>
      </c>
      <c r="J165" s="1">
        <v>2718947</v>
      </c>
      <c r="K165" t="s">
        <v>26</v>
      </c>
      <c r="L165">
        <v>183444</v>
      </c>
      <c r="M165" t="s">
        <v>225</v>
      </c>
      <c r="O165">
        <v>1</v>
      </c>
      <c r="P165" t="s">
        <v>433</v>
      </c>
      <c r="Q165" t="s">
        <v>371</v>
      </c>
    </row>
    <row r="166" spans="1:17" x14ac:dyDescent="0.25">
      <c r="A166">
        <v>8003879954</v>
      </c>
      <c r="B166">
        <v>69</v>
      </c>
      <c r="C166">
        <v>13072017</v>
      </c>
      <c r="D166">
        <v>299</v>
      </c>
      <c r="E166" t="s">
        <v>30</v>
      </c>
      <c r="F166">
        <v>9938</v>
      </c>
      <c r="G166" t="s">
        <v>432</v>
      </c>
      <c r="H166" s="1">
        <v>0.01</v>
      </c>
      <c r="I166" t="s">
        <v>28</v>
      </c>
      <c r="J166" s="1">
        <v>2723565.01</v>
      </c>
      <c r="K166" t="s">
        <v>26</v>
      </c>
      <c r="L166">
        <v>183444</v>
      </c>
      <c r="M166" t="s">
        <v>434</v>
      </c>
      <c r="O166">
        <v>1</v>
      </c>
    </row>
    <row r="167" spans="1:17" hidden="1" x14ac:dyDescent="0.25">
      <c r="A167">
        <v>8003879954</v>
      </c>
      <c r="B167">
        <v>68</v>
      </c>
      <c r="C167">
        <v>13072017</v>
      </c>
      <c r="D167">
        <v>489</v>
      </c>
      <c r="E167" t="s">
        <v>31</v>
      </c>
      <c r="F167">
        <v>9938</v>
      </c>
      <c r="G167" t="s">
        <v>432</v>
      </c>
      <c r="H167" s="1">
        <v>0.1</v>
      </c>
      <c r="I167" t="s">
        <v>28</v>
      </c>
      <c r="J167" s="1">
        <v>2723565.02</v>
      </c>
      <c r="K167" t="s">
        <v>26</v>
      </c>
      <c r="L167">
        <v>183444</v>
      </c>
      <c r="M167" t="s">
        <v>434</v>
      </c>
      <c r="O167">
        <v>1</v>
      </c>
    </row>
    <row r="168" spans="1:17" hidden="1" x14ac:dyDescent="0.25">
      <c r="A168">
        <v>8003879954</v>
      </c>
      <c r="B168">
        <v>67</v>
      </c>
      <c r="C168">
        <v>13072017</v>
      </c>
      <c r="D168">
        <v>341</v>
      </c>
      <c r="E168" t="s">
        <v>29</v>
      </c>
      <c r="F168">
        <v>9938</v>
      </c>
      <c r="G168" t="s">
        <v>435</v>
      </c>
      <c r="H168" s="1">
        <v>160.75</v>
      </c>
      <c r="I168" t="s">
        <v>28</v>
      </c>
      <c r="J168" s="1">
        <v>2723565.12</v>
      </c>
      <c r="K168" t="s">
        <v>26</v>
      </c>
      <c r="L168">
        <v>183442</v>
      </c>
      <c r="M168" t="s">
        <v>87</v>
      </c>
      <c r="O168">
        <v>1</v>
      </c>
      <c r="P168" t="s">
        <v>436</v>
      </c>
      <c r="Q168" t="s">
        <v>437</v>
      </c>
    </row>
    <row r="169" spans="1:17" x14ac:dyDescent="0.25">
      <c r="A169">
        <v>8003879954</v>
      </c>
      <c r="B169">
        <v>66</v>
      </c>
      <c r="C169">
        <v>13072017</v>
      </c>
      <c r="D169">
        <v>299</v>
      </c>
      <c r="E169" t="s">
        <v>30</v>
      </c>
      <c r="F169">
        <v>9938</v>
      </c>
      <c r="G169" t="s">
        <v>435</v>
      </c>
      <c r="H169" s="1">
        <v>0.01</v>
      </c>
      <c r="I169" t="s">
        <v>28</v>
      </c>
      <c r="J169" s="1">
        <v>2723725.87</v>
      </c>
      <c r="K169" t="s">
        <v>26</v>
      </c>
      <c r="L169">
        <v>183442</v>
      </c>
      <c r="M169" t="s">
        <v>438</v>
      </c>
      <c r="O169">
        <v>1</v>
      </c>
    </row>
    <row r="170" spans="1:17" hidden="1" x14ac:dyDescent="0.25">
      <c r="A170">
        <v>8003879954</v>
      </c>
      <c r="B170">
        <v>65</v>
      </c>
      <c r="C170">
        <v>13072017</v>
      </c>
      <c r="D170">
        <v>489</v>
      </c>
      <c r="E170" t="s">
        <v>31</v>
      </c>
      <c r="F170">
        <v>9938</v>
      </c>
      <c r="G170" t="s">
        <v>435</v>
      </c>
      <c r="H170" s="1">
        <v>0.1</v>
      </c>
      <c r="I170" t="s">
        <v>28</v>
      </c>
      <c r="J170" s="1">
        <v>2723725.88</v>
      </c>
      <c r="K170" t="s">
        <v>26</v>
      </c>
      <c r="L170">
        <v>183442</v>
      </c>
      <c r="M170" t="s">
        <v>438</v>
      </c>
      <c r="O170">
        <v>1</v>
      </c>
    </row>
    <row r="171" spans="1:17" hidden="1" x14ac:dyDescent="0.25">
      <c r="A171">
        <v>8003879954</v>
      </c>
      <c r="B171">
        <v>64</v>
      </c>
      <c r="C171">
        <v>13072017</v>
      </c>
      <c r="D171">
        <v>341</v>
      </c>
      <c r="E171" t="s">
        <v>29</v>
      </c>
      <c r="F171">
        <v>9938</v>
      </c>
      <c r="G171" t="s">
        <v>439</v>
      </c>
      <c r="H171" s="1">
        <v>390.08</v>
      </c>
      <c r="I171" t="s">
        <v>28</v>
      </c>
      <c r="J171" s="1">
        <v>2723725.98</v>
      </c>
      <c r="K171" t="s">
        <v>26</v>
      </c>
      <c r="L171">
        <v>183442</v>
      </c>
      <c r="M171" t="s">
        <v>365</v>
      </c>
      <c r="O171">
        <v>1</v>
      </c>
      <c r="P171" t="s">
        <v>440</v>
      </c>
      <c r="Q171" t="s">
        <v>441</v>
      </c>
    </row>
    <row r="172" spans="1:17" x14ac:dyDescent="0.25">
      <c r="A172">
        <v>8003879954</v>
      </c>
      <c r="B172">
        <v>63</v>
      </c>
      <c r="C172">
        <v>13072017</v>
      </c>
      <c r="D172">
        <v>299</v>
      </c>
      <c r="E172" t="s">
        <v>30</v>
      </c>
      <c r="F172">
        <v>9938</v>
      </c>
      <c r="G172" t="s">
        <v>439</v>
      </c>
      <c r="H172" s="1">
        <v>0.01</v>
      </c>
      <c r="I172" t="s">
        <v>28</v>
      </c>
      <c r="J172" s="1">
        <v>2724116.06</v>
      </c>
      <c r="K172" t="s">
        <v>26</v>
      </c>
      <c r="L172">
        <v>183442</v>
      </c>
      <c r="M172" t="s">
        <v>442</v>
      </c>
      <c r="O172">
        <v>1</v>
      </c>
    </row>
    <row r="173" spans="1:17" hidden="1" x14ac:dyDescent="0.25">
      <c r="A173">
        <v>8003879954</v>
      </c>
      <c r="B173">
        <v>62</v>
      </c>
      <c r="C173">
        <v>13072017</v>
      </c>
      <c r="D173">
        <v>489</v>
      </c>
      <c r="E173" t="s">
        <v>31</v>
      </c>
      <c r="F173">
        <v>9938</v>
      </c>
      <c r="G173" t="s">
        <v>439</v>
      </c>
      <c r="H173" s="1">
        <v>0.1</v>
      </c>
      <c r="I173" t="s">
        <v>28</v>
      </c>
      <c r="J173" s="1">
        <v>2724116.07</v>
      </c>
      <c r="K173" t="s">
        <v>26</v>
      </c>
      <c r="L173">
        <v>183442</v>
      </c>
      <c r="M173" t="s">
        <v>442</v>
      </c>
      <c r="O173">
        <v>1</v>
      </c>
    </row>
    <row r="174" spans="1:17" hidden="1" x14ac:dyDescent="0.25">
      <c r="A174">
        <v>8003879954</v>
      </c>
      <c r="B174">
        <v>61</v>
      </c>
      <c r="C174">
        <v>13072017</v>
      </c>
      <c r="D174">
        <v>343</v>
      </c>
      <c r="E174" t="s">
        <v>49</v>
      </c>
      <c r="F174">
        <v>9938</v>
      </c>
      <c r="G174" t="s">
        <v>443</v>
      </c>
      <c r="H174" s="1">
        <v>1521.95</v>
      </c>
      <c r="I174" t="s">
        <v>28</v>
      </c>
      <c r="J174" s="1">
        <v>2724116.17</v>
      </c>
      <c r="K174" t="s">
        <v>26</v>
      </c>
      <c r="L174">
        <v>183442</v>
      </c>
      <c r="M174" t="s">
        <v>444</v>
      </c>
      <c r="O174">
        <v>1</v>
      </c>
    </row>
    <row r="175" spans="1:17" hidden="1" x14ac:dyDescent="0.25">
      <c r="A175">
        <v>8003879954</v>
      </c>
      <c r="B175">
        <v>60</v>
      </c>
      <c r="C175">
        <v>13072017</v>
      </c>
      <c r="D175">
        <v>341</v>
      </c>
      <c r="E175" t="s">
        <v>29</v>
      </c>
      <c r="F175">
        <v>9938</v>
      </c>
      <c r="G175" t="s">
        <v>445</v>
      </c>
      <c r="H175" s="1">
        <v>900</v>
      </c>
      <c r="I175" t="s">
        <v>28</v>
      </c>
      <c r="J175" s="1">
        <v>2725638.12</v>
      </c>
      <c r="K175" t="s">
        <v>26</v>
      </c>
      <c r="L175">
        <v>183441</v>
      </c>
      <c r="M175" t="s">
        <v>446</v>
      </c>
      <c r="O175">
        <v>1</v>
      </c>
      <c r="P175" t="s">
        <v>447</v>
      </c>
      <c r="Q175" t="s">
        <v>448</v>
      </c>
    </row>
    <row r="176" spans="1:17" x14ac:dyDescent="0.25">
      <c r="A176">
        <v>8003879954</v>
      </c>
      <c r="B176">
        <v>59</v>
      </c>
      <c r="C176">
        <v>13072017</v>
      </c>
      <c r="D176">
        <v>299</v>
      </c>
      <c r="E176" t="s">
        <v>30</v>
      </c>
      <c r="F176">
        <v>9938</v>
      </c>
      <c r="G176" t="s">
        <v>445</v>
      </c>
      <c r="H176" s="1">
        <v>0.01</v>
      </c>
      <c r="I176" t="s">
        <v>28</v>
      </c>
      <c r="J176" s="1">
        <v>2726538.12</v>
      </c>
      <c r="K176" t="s">
        <v>26</v>
      </c>
      <c r="L176">
        <v>183441</v>
      </c>
      <c r="M176" t="s">
        <v>449</v>
      </c>
      <c r="O176">
        <v>1</v>
      </c>
    </row>
    <row r="177" spans="1:17" hidden="1" x14ac:dyDescent="0.25">
      <c r="A177">
        <v>8003879954</v>
      </c>
      <c r="B177">
        <v>58</v>
      </c>
      <c r="C177">
        <v>13072017</v>
      </c>
      <c r="D177">
        <v>489</v>
      </c>
      <c r="E177" t="s">
        <v>31</v>
      </c>
      <c r="F177">
        <v>9938</v>
      </c>
      <c r="G177" t="s">
        <v>445</v>
      </c>
      <c r="H177" s="1">
        <v>0.1</v>
      </c>
      <c r="I177" t="s">
        <v>28</v>
      </c>
      <c r="J177" s="1">
        <v>2726538.13</v>
      </c>
      <c r="K177" t="s">
        <v>26</v>
      </c>
      <c r="L177">
        <v>183441</v>
      </c>
      <c r="M177" t="s">
        <v>449</v>
      </c>
      <c r="O177">
        <v>1</v>
      </c>
    </row>
    <row r="178" spans="1:17" hidden="1" x14ac:dyDescent="0.25">
      <c r="A178">
        <v>8003879954</v>
      </c>
      <c r="B178">
        <v>57</v>
      </c>
      <c r="C178">
        <v>13072017</v>
      </c>
      <c r="D178">
        <v>341</v>
      </c>
      <c r="E178" t="s">
        <v>29</v>
      </c>
      <c r="F178">
        <v>9938</v>
      </c>
      <c r="G178" t="s">
        <v>450</v>
      </c>
      <c r="H178" s="1">
        <v>1250</v>
      </c>
      <c r="I178" t="s">
        <v>28</v>
      </c>
      <c r="J178" s="1">
        <v>2726538.23</v>
      </c>
      <c r="K178" t="s">
        <v>26</v>
      </c>
      <c r="L178">
        <v>183441</v>
      </c>
      <c r="M178" t="s">
        <v>451</v>
      </c>
      <c r="O178">
        <v>1</v>
      </c>
      <c r="P178" t="s">
        <v>452</v>
      </c>
      <c r="Q178" t="s">
        <v>453</v>
      </c>
    </row>
    <row r="179" spans="1:17" x14ac:dyDescent="0.25">
      <c r="A179">
        <v>8003879954</v>
      </c>
      <c r="B179">
        <v>56</v>
      </c>
      <c r="C179">
        <v>13072017</v>
      </c>
      <c r="D179">
        <v>299</v>
      </c>
      <c r="E179" t="s">
        <v>30</v>
      </c>
      <c r="F179">
        <v>9938</v>
      </c>
      <c r="G179" t="s">
        <v>450</v>
      </c>
      <c r="H179" s="1">
        <v>0.01</v>
      </c>
      <c r="I179" t="s">
        <v>28</v>
      </c>
      <c r="J179" s="1">
        <v>2727788.23</v>
      </c>
      <c r="K179" t="s">
        <v>26</v>
      </c>
      <c r="L179">
        <v>183441</v>
      </c>
      <c r="M179" t="s">
        <v>454</v>
      </c>
      <c r="O179">
        <v>1</v>
      </c>
    </row>
    <row r="180" spans="1:17" hidden="1" x14ac:dyDescent="0.25">
      <c r="A180">
        <v>8003879954</v>
      </c>
      <c r="B180">
        <v>55</v>
      </c>
      <c r="C180">
        <v>13072017</v>
      </c>
      <c r="D180">
        <v>489</v>
      </c>
      <c r="E180" t="s">
        <v>31</v>
      </c>
      <c r="F180">
        <v>9938</v>
      </c>
      <c r="G180" t="s">
        <v>450</v>
      </c>
      <c r="H180" s="1">
        <v>0.1</v>
      </c>
      <c r="I180" t="s">
        <v>28</v>
      </c>
      <c r="J180" s="1">
        <v>2727788.24</v>
      </c>
      <c r="K180" t="s">
        <v>26</v>
      </c>
      <c r="L180">
        <v>183441</v>
      </c>
      <c r="M180" t="s">
        <v>454</v>
      </c>
      <c r="O180">
        <v>1</v>
      </c>
    </row>
    <row r="181" spans="1:17" hidden="1" x14ac:dyDescent="0.25">
      <c r="A181">
        <v>8003879954</v>
      </c>
      <c r="B181">
        <v>54</v>
      </c>
      <c r="C181">
        <v>13072017</v>
      </c>
      <c r="D181">
        <v>341</v>
      </c>
      <c r="E181" t="s">
        <v>29</v>
      </c>
      <c r="F181">
        <v>9938</v>
      </c>
      <c r="G181" t="s">
        <v>455</v>
      </c>
      <c r="H181" s="1">
        <v>184.45</v>
      </c>
      <c r="I181" t="s">
        <v>28</v>
      </c>
      <c r="J181" s="1">
        <v>2727788.34</v>
      </c>
      <c r="K181" t="s">
        <v>26</v>
      </c>
      <c r="L181">
        <v>183441</v>
      </c>
      <c r="M181" t="s">
        <v>456</v>
      </c>
      <c r="O181">
        <v>1</v>
      </c>
      <c r="P181" t="s">
        <v>457</v>
      </c>
      <c r="Q181" t="s">
        <v>458</v>
      </c>
    </row>
    <row r="182" spans="1:17" x14ac:dyDescent="0.25">
      <c r="A182">
        <v>8003879954</v>
      </c>
      <c r="B182">
        <v>53</v>
      </c>
      <c r="C182">
        <v>13072017</v>
      </c>
      <c r="D182">
        <v>299</v>
      </c>
      <c r="E182" t="s">
        <v>30</v>
      </c>
      <c r="F182">
        <v>9938</v>
      </c>
      <c r="G182" t="s">
        <v>455</v>
      </c>
      <c r="H182" s="1">
        <v>0.01</v>
      </c>
      <c r="I182" t="s">
        <v>28</v>
      </c>
      <c r="J182" s="1">
        <v>2727972.79</v>
      </c>
      <c r="K182" t="s">
        <v>26</v>
      </c>
      <c r="L182">
        <v>183441</v>
      </c>
      <c r="M182" t="s">
        <v>459</v>
      </c>
      <c r="O182">
        <v>1</v>
      </c>
    </row>
    <row r="183" spans="1:17" hidden="1" x14ac:dyDescent="0.25">
      <c r="A183">
        <v>8003879954</v>
      </c>
      <c r="B183">
        <v>52</v>
      </c>
      <c r="C183">
        <v>13072017</v>
      </c>
      <c r="D183">
        <v>489</v>
      </c>
      <c r="E183" t="s">
        <v>31</v>
      </c>
      <c r="F183">
        <v>9938</v>
      </c>
      <c r="G183" t="s">
        <v>455</v>
      </c>
      <c r="H183" s="1">
        <v>0.1</v>
      </c>
      <c r="I183" t="s">
        <v>28</v>
      </c>
      <c r="J183" s="1">
        <v>2727972.8</v>
      </c>
      <c r="K183" t="s">
        <v>26</v>
      </c>
      <c r="L183">
        <v>183441</v>
      </c>
      <c r="M183" t="s">
        <v>459</v>
      </c>
      <c r="O183">
        <v>1</v>
      </c>
    </row>
    <row r="184" spans="1:17" hidden="1" x14ac:dyDescent="0.25">
      <c r="A184">
        <v>8003879954</v>
      </c>
      <c r="B184">
        <v>51</v>
      </c>
      <c r="C184">
        <v>13072017</v>
      </c>
      <c r="D184">
        <v>60</v>
      </c>
      <c r="E184" t="s">
        <v>43</v>
      </c>
      <c r="F184">
        <v>9938</v>
      </c>
      <c r="G184" t="s">
        <v>460</v>
      </c>
      <c r="H184" s="1">
        <v>5300</v>
      </c>
      <c r="I184" t="s">
        <v>28</v>
      </c>
      <c r="J184" s="1">
        <v>2727972.9</v>
      </c>
      <c r="K184" t="s">
        <v>26</v>
      </c>
      <c r="L184">
        <v>183440</v>
      </c>
      <c r="M184" t="s">
        <v>461</v>
      </c>
      <c r="O184">
        <v>1</v>
      </c>
      <c r="P184" t="s">
        <v>462</v>
      </c>
      <c r="Q184" t="s">
        <v>463</v>
      </c>
    </row>
    <row r="185" spans="1:17" hidden="1" x14ac:dyDescent="0.25">
      <c r="A185">
        <v>8003879954</v>
      </c>
      <c r="B185">
        <v>50</v>
      </c>
      <c r="C185">
        <v>13072017</v>
      </c>
      <c r="D185">
        <v>341</v>
      </c>
      <c r="E185" t="s">
        <v>29</v>
      </c>
      <c r="F185">
        <v>9938</v>
      </c>
      <c r="G185" t="s">
        <v>464</v>
      </c>
      <c r="H185" s="1">
        <v>360</v>
      </c>
      <c r="I185" t="s">
        <v>28</v>
      </c>
      <c r="J185" s="1">
        <v>2733272.9</v>
      </c>
      <c r="K185" t="s">
        <v>26</v>
      </c>
      <c r="L185">
        <v>183150</v>
      </c>
      <c r="M185" t="s">
        <v>124</v>
      </c>
      <c r="O185">
        <v>1</v>
      </c>
      <c r="P185" t="s">
        <v>465</v>
      </c>
      <c r="Q185" t="s">
        <v>126</v>
      </c>
    </row>
    <row r="186" spans="1:17" x14ac:dyDescent="0.25">
      <c r="A186">
        <v>8003879954</v>
      </c>
      <c r="B186">
        <v>49</v>
      </c>
      <c r="C186">
        <v>13072017</v>
      </c>
      <c r="D186">
        <v>299</v>
      </c>
      <c r="E186" t="s">
        <v>30</v>
      </c>
      <c r="F186">
        <v>9938</v>
      </c>
      <c r="G186" t="s">
        <v>464</v>
      </c>
      <c r="H186" s="1">
        <v>0.01</v>
      </c>
      <c r="I186" t="s">
        <v>28</v>
      </c>
      <c r="J186" s="1">
        <v>2733632.9</v>
      </c>
      <c r="K186" t="s">
        <v>26</v>
      </c>
      <c r="L186">
        <v>183150</v>
      </c>
      <c r="M186" t="s">
        <v>466</v>
      </c>
      <c r="O186">
        <v>1</v>
      </c>
    </row>
    <row r="187" spans="1:17" hidden="1" x14ac:dyDescent="0.25">
      <c r="A187">
        <v>8003879954</v>
      </c>
      <c r="B187">
        <v>48</v>
      </c>
      <c r="C187">
        <v>13072017</v>
      </c>
      <c r="D187">
        <v>489</v>
      </c>
      <c r="E187" t="s">
        <v>31</v>
      </c>
      <c r="F187">
        <v>9938</v>
      </c>
      <c r="G187" t="s">
        <v>464</v>
      </c>
      <c r="H187" s="1">
        <v>0.1</v>
      </c>
      <c r="I187" t="s">
        <v>28</v>
      </c>
      <c r="J187" s="1">
        <v>2733632.91</v>
      </c>
      <c r="K187" t="s">
        <v>26</v>
      </c>
      <c r="L187">
        <v>183150</v>
      </c>
      <c r="M187" t="s">
        <v>466</v>
      </c>
      <c r="O187">
        <v>1</v>
      </c>
    </row>
    <row r="188" spans="1:17" hidden="1" x14ac:dyDescent="0.25">
      <c r="A188">
        <v>8003879954</v>
      </c>
      <c r="B188">
        <v>47</v>
      </c>
      <c r="C188">
        <v>13072017</v>
      </c>
      <c r="D188">
        <v>341</v>
      </c>
      <c r="E188" t="s">
        <v>29</v>
      </c>
      <c r="F188">
        <v>9938</v>
      </c>
      <c r="G188" t="s">
        <v>467</v>
      </c>
      <c r="H188" s="1">
        <v>90</v>
      </c>
      <c r="I188" t="s">
        <v>28</v>
      </c>
      <c r="J188" s="1">
        <v>2733633.01</v>
      </c>
      <c r="K188" t="s">
        <v>26</v>
      </c>
      <c r="L188">
        <v>183150</v>
      </c>
      <c r="M188" t="s">
        <v>468</v>
      </c>
      <c r="O188">
        <v>1</v>
      </c>
      <c r="P188" t="s">
        <v>469</v>
      </c>
      <c r="Q188" t="s">
        <v>470</v>
      </c>
    </row>
    <row r="189" spans="1:17" x14ac:dyDescent="0.25">
      <c r="A189">
        <v>8003879954</v>
      </c>
      <c r="B189">
        <v>46</v>
      </c>
      <c r="C189">
        <v>13072017</v>
      </c>
      <c r="D189">
        <v>299</v>
      </c>
      <c r="E189" t="s">
        <v>30</v>
      </c>
      <c r="F189">
        <v>9938</v>
      </c>
      <c r="G189" t="s">
        <v>467</v>
      </c>
      <c r="H189" s="1">
        <v>0.01</v>
      </c>
      <c r="I189" t="s">
        <v>28</v>
      </c>
      <c r="J189" s="1">
        <v>2733723.01</v>
      </c>
      <c r="K189" t="s">
        <v>26</v>
      </c>
      <c r="L189">
        <v>183150</v>
      </c>
      <c r="M189" t="s">
        <v>471</v>
      </c>
      <c r="O189">
        <v>1</v>
      </c>
    </row>
    <row r="190" spans="1:17" hidden="1" x14ac:dyDescent="0.25">
      <c r="A190">
        <v>8003879954</v>
      </c>
      <c r="B190">
        <v>45</v>
      </c>
      <c r="C190">
        <v>13072017</v>
      </c>
      <c r="D190">
        <v>489</v>
      </c>
      <c r="E190" t="s">
        <v>31</v>
      </c>
      <c r="F190">
        <v>9938</v>
      </c>
      <c r="G190" t="s">
        <v>467</v>
      </c>
      <c r="H190" s="1">
        <v>0.1</v>
      </c>
      <c r="I190" t="s">
        <v>28</v>
      </c>
      <c r="J190" s="1">
        <v>2733723.02</v>
      </c>
      <c r="K190" t="s">
        <v>26</v>
      </c>
      <c r="L190">
        <v>183150</v>
      </c>
      <c r="M190" t="s">
        <v>471</v>
      </c>
      <c r="O190">
        <v>1</v>
      </c>
    </row>
    <row r="191" spans="1:17" hidden="1" x14ac:dyDescent="0.25">
      <c r="A191">
        <v>8003879954</v>
      </c>
      <c r="B191">
        <v>44</v>
      </c>
      <c r="C191">
        <v>13072017</v>
      </c>
      <c r="D191">
        <v>341</v>
      </c>
      <c r="E191" t="s">
        <v>29</v>
      </c>
      <c r="F191">
        <v>9938</v>
      </c>
      <c r="G191" t="s">
        <v>472</v>
      </c>
      <c r="H191" s="1">
        <v>720</v>
      </c>
      <c r="I191" t="s">
        <v>28</v>
      </c>
      <c r="J191" s="1">
        <v>2733723.12</v>
      </c>
      <c r="K191" t="s">
        <v>26</v>
      </c>
      <c r="L191">
        <v>183147</v>
      </c>
      <c r="M191" t="s">
        <v>165</v>
      </c>
      <c r="O191">
        <v>1</v>
      </c>
      <c r="P191" t="s">
        <v>473</v>
      </c>
      <c r="Q191" t="s">
        <v>474</v>
      </c>
    </row>
    <row r="192" spans="1:17" x14ac:dyDescent="0.25">
      <c r="A192">
        <v>8003879954</v>
      </c>
      <c r="B192">
        <v>43</v>
      </c>
      <c r="C192">
        <v>13072017</v>
      </c>
      <c r="D192">
        <v>299</v>
      </c>
      <c r="E192" t="s">
        <v>30</v>
      </c>
      <c r="F192">
        <v>9938</v>
      </c>
      <c r="G192" t="s">
        <v>472</v>
      </c>
      <c r="H192" s="1">
        <v>0.01</v>
      </c>
      <c r="I192" t="s">
        <v>28</v>
      </c>
      <c r="J192" s="1">
        <v>2734443.12</v>
      </c>
      <c r="K192" t="s">
        <v>26</v>
      </c>
      <c r="L192">
        <v>183147</v>
      </c>
      <c r="M192" t="s">
        <v>475</v>
      </c>
      <c r="O192">
        <v>1</v>
      </c>
    </row>
    <row r="193" spans="1:17" hidden="1" x14ac:dyDescent="0.25">
      <c r="A193">
        <v>8003879954</v>
      </c>
      <c r="B193">
        <v>42</v>
      </c>
      <c r="C193">
        <v>13072017</v>
      </c>
      <c r="D193">
        <v>489</v>
      </c>
      <c r="E193" t="s">
        <v>31</v>
      </c>
      <c r="F193">
        <v>9938</v>
      </c>
      <c r="G193" t="s">
        <v>472</v>
      </c>
      <c r="H193" s="1">
        <v>0.1</v>
      </c>
      <c r="I193" t="s">
        <v>28</v>
      </c>
      <c r="J193" s="1">
        <v>2734443.13</v>
      </c>
      <c r="K193" t="s">
        <v>26</v>
      </c>
      <c r="L193">
        <v>183147</v>
      </c>
      <c r="M193" t="s">
        <v>475</v>
      </c>
      <c r="O193">
        <v>1</v>
      </c>
    </row>
    <row r="194" spans="1:17" hidden="1" x14ac:dyDescent="0.25">
      <c r="A194">
        <v>8003879954</v>
      </c>
      <c r="B194">
        <v>41</v>
      </c>
      <c r="C194">
        <v>13072017</v>
      </c>
      <c r="D194">
        <v>341</v>
      </c>
      <c r="E194" t="s">
        <v>29</v>
      </c>
      <c r="F194">
        <v>9938</v>
      </c>
      <c r="G194" t="s">
        <v>476</v>
      </c>
      <c r="H194" s="1">
        <v>1677.9</v>
      </c>
      <c r="I194" t="s">
        <v>28</v>
      </c>
      <c r="J194" s="1">
        <v>2734443.23</v>
      </c>
      <c r="K194" t="s">
        <v>26</v>
      </c>
      <c r="L194">
        <v>183148</v>
      </c>
      <c r="M194" t="s">
        <v>128</v>
      </c>
      <c r="O194">
        <v>1</v>
      </c>
      <c r="P194" t="s">
        <v>477</v>
      </c>
      <c r="Q194" t="s">
        <v>478</v>
      </c>
    </row>
    <row r="195" spans="1:17" x14ac:dyDescent="0.25">
      <c r="A195">
        <v>8003879954</v>
      </c>
      <c r="B195">
        <v>40</v>
      </c>
      <c r="C195">
        <v>13072017</v>
      </c>
      <c r="D195">
        <v>299</v>
      </c>
      <c r="E195" t="s">
        <v>30</v>
      </c>
      <c r="F195">
        <v>9938</v>
      </c>
      <c r="G195" t="s">
        <v>476</v>
      </c>
      <c r="H195" s="1">
        <v>0.01</v>
      </c>
      <c r="I195" t="s">
        <v>28</v>
      </c>
      <c r="J195" s="1">
        <v>2736121.13</v>
      </c>
      <c r="K195" t="s">
        <v>26</v>
      </c>
      <c r="L195">
        <v>183148</v>
      </c>
      <c r="M195" t="s">
        <v>479</v>
      </c>
      <c r="O195">
        <v>1</v>
      </c>
    </row>
    <row r="196" spans="1:17" hidden="1" x14ac:dyDescent="0.25">
      <c r="A196">
        <v>8003879954</v>
      </c>
      <c r="B196">
        <v>39</v>
      </c>
      <c r="C196">
        <v>13072017</v>
      </c>
      <c r="D196">
        <v>489</v>
      </c>
      <c r="E196" t="s">
        <v>31</v>
      </c>
      <c r="F196">
        <v>9938</v>
      </c>
      <c r="G196" t="s">
        <v>476</v>
      </c>
      <c r="H196" s="1">
        <v>0.1</v>
      </c>
      <c r="I196" t="s">
        <v>28</v>
      </c>
      <c r="J196" s="1">
        <v>2736121.14</v>
      </c>
      <c r="K196" t="s">
        <v>26</v>
      </c>
      <c r="L196">
        <v>183148</v>
      </c>
      <c r="M196" t="s">
        <v>479</v>
      </c>
      <c r="O196">
        <v>1</v>
      </c>
    </row>
    <row r="197" spans="1:17" hidden="1" x14ac:dyDescent="0.25">
      <c r="A197">
        <v>8003879954</v>
      </c>
      <c r="B197">
        <v>38</v>
      </c>
      <c r="C197">
        <v>13072017</v>
      </c>
      <c r="D197">
        <v>341</v>
      </c>
      <c r="E197" t="s">
        <v>29</v>
      </c>
      <c r="F197">
        <v>9938</v>
      </c>
      <c r="G197" t="s">
        <v>480</v>
      </c>
      <c r="H197" s="1">
        <v>413.4</v>
      </c>
      <c r="I197" t="s">
        <v>28</v>
      </c>
      <c r="J197" s="1">
        <v>2736121.24</v>
      </c>
      <c r="K197" t="s">
        <v>26</v>
      </c>
      <c r="L197">
        <v>183148</v>
      </c>
      <c r="M197" t="s">
        <v>481</v>
      </c>
      <c r="O197">
        <v>1</v>
      </c>
      <c r="P197" t="s">
        <v>482</v>
      </c>
      <c r="Q197" t="s">
        <v>483</v>
      </c>
    </row>
    <row r="198" spans="1:17" x14ac:dyDescent="0.25">
      <c r="A198">
        <v>8003879954</v>
      </c>
      <c r="B198">
        <v>37</v>
      </c>
      <c r="C198">
        <v>13072017</v>
      </c>
      <c r="D198">
        <v>299</v>
      </c>
      <c r="E198" t="s">
        <v>30</v>
      </c>
      <c r="F198">
        <v>9938</v>
      </c>
      <c r="G198" t="s">
        <v>480</v>
      </c>
      <c r="H198" s="1">
        <v>0.01</v>
      </c>
      <c r="I198" t="s">
        <v>28</v>
      </c>
      <c r="J198" s="1">
        <v>2736534.64</v>
      </c>
      <c r="K198" t="s">
        <v>26</v>
      </c>
      <c r="L198">
        <v>183148</v>
      </c>
      <c r="M198" t="s">
        <v>484</v>
      </c>
      <c r="O198">
        <v>1</v>
      </c>
    </row>
    <row r="199" spans="1:17" hidden="1" x14ac:dyDescent="0.25">
      <c r="A199">
        <v>8003879954</v>
      </c>
      <c r="B199">
        <v>36</v>
      </c>
      <c r="C199">
        <v>13072017</v>
      </c>
      <c r="D199">
        <v>489</v>
      </c>
      <c r="E199" t="s">
        <v>31</v>
      </c>
      <c r="F199">
        <v>9938</v>
      </c>
      <c r="G199" t="s">
        <v>480</v>
      </c>
      <c r="H199" s="1">
        <v>0.1</v>
      </c>
      <c r="I199" t="s">
        <v>28</v>
      </c>
      <c r="J199" s="1">
        <v>2736534.65</v>
      </c>
      <c r="K199" t="s">
        <v>26</v>
      </c>
      <c r="L199">
        <v>183148</v>
      </c>
      <c r="M199" t="s">
        <v>484</v>
      </c>
      <c r="O199">
        <v>1</v>
      </c>
    </row>
    <row r="200" spans="1:17" hidden="1" x14ac:dyDescent="0.25">
      <c r="A200">
        <v>8003879954</v>
      </c>
      <c r="B200">
        <v>35</v>
      </c>
      <c r="C200">
        <v>13072017</v>
      </c>
      <c r="D200">
        <v>341</v>
      </c>
      <c r="E200" t="s">
        <v>29</v>
      </c>
      <c r="F200">
        <v>9938</v>
      </c>
      <c r="G200" t="s">
        <v>485</v>
      </c>
      <c r="H200" s="1">
        <v>6800</v>
      </c>
      <c r="I200" t="s">
        <v>28</v>
      </c>
      <c r="J200" s="1">
        <v>2736534.75</v>
      </c>
      <c r="K200" t="s">
        <v>26</v>
      </c>
      <c r="L200">
        <v>183147</v>
      </c>
      <c r="M200" t="s">
        <v>486</v>
      </c>
      <c r="O200">
        <v>1</v>
      </c>
      <c r="P200" t="s">
        <v>487</v>
      </c>
      <c r="Q200" t="s">
        <v>126</v>
      </c>
    </row>
    <row r="201" spans="1:17" x14ac:dyDescent="0.25">
      <c r="A201">
        <v>8003879954</v>
      </c>
      <c r="B201">
        <v>34</v>
      </c>
      <c r="C201">
        <v>13072017</v>
      </c>
      <c r="D201">
        <v>299</v>
      </c>
      <c r="E201" t="s">
        <v>30</v>
      </c>
      <c r="F201">
        <v>9938</v>
      </c>
      <c r="G201" t="s">
        <v>485</v>
      </c>
      <c r="H201" s="1">
        <v>0.01</v>
      </c>
      <c r="I201" t="s">
        <v>28</v>
      </c>
      <c r="J201" s="1">
        <v>2743334.75</v>
      </c>
      <c r="K201" t="s">
        <v>26</v>
      </c>
      <c r="L201">
        <v>183147</v>
      </c>
      <c r="M201" t="s">
        <v>488</v>
      </c>
      <c r="O201">
        <v>1</v>
      </c>
    </row>
    <row r="202" spans="1:17" hidden="1" x14ac:dyDescent="0.25">
      <c r="A202">
        <v>8003879954</v>
      </c>
      <c r="B202">
        <v>33</v>
      </c>
      <c r="C202">
        <v>13072017</v>
      </c>
      <c r="D202">
        <v>489</v>
      </c>
      <c r="E202" t="s">
        <v>31</v>
      </c>
      <c r="F202">
        <v>9938</v>
      </c>
      <c r="G202" t="s">
        <v>485</v>
      </c>
      <c r="H202" s="1">
        <v>0.1</v>
      </c>
      <c r="I202" t="s">
        <v>28</v>
      </c>
      <c r="J202" s="1">
        <v>2743334.76</v>
      </c>
      <c r="K202" t="s">
        <v>26</v>
      </c>
      <c r="L202">
        <v>183147</v>
      </c>
      <c r="M202" t="s">
        <v>488</v>
      </c>
      <c r="O202">
        <v>1</v>
      </c>
    </row>
    <row r="203" spans="1:17" hidden="1" x14ac:dyDescent="0.25">
      <c r="A203">
        <v>8003879954</v>
      </c>
      <c r="B203">
        <v>32</v>
      </c>
      <c r="C203">
        <v>13072017</v>
      </c>
      <c r="D203">
        <v>341</v>
      </c>
      <c r="E203" t="s">
        <v>29</v>
      </c>
      <c r="F203">
        <v>9938</v>
      </c>
      <c r="G203" t="s">
        <v>489</v>
      </c>
      <c r="H203" s="1">
        <v>500</v>
      </c>
      <c r="I203" t="s">
        <v>28</v>
      </c>
      <c r="J203" s="1">
        <v>2743334.86</v>
      </c>
      <c r="K203" t="s">
        <v>26</v>
      </c>
      <c r="L203">
        <v>183148</v>
      </c>
      <c r="M203" t="s">
        <v>490</v>
      </c>
      <c r="O203">
        <v>1</v>
      </c>
      <c r="P203" t="s">
        <v>491</v>
      </c>
      <c r="Q203" t="s">
        <v>492</v>
      </c>
    </row>
    <row r="204" spans="1:17" x14ac:dyDescent="0.25">
      <c r="A204">
        <v>8003879954</v>
      </c>
      <c r="B204">
        <v>31</v>
      </c>
      <c r="C204">
        <v>13072017</v>
      </c>
      <c r="D204">
        <v>299</v>
      </c>
      <c r="E204" t="s">
        <v>30</v>
      </c>
      <c r="F204">
        <v>9938</v>
      </c>
      <c r="G204" t="s">
        <v>489</v>
      </c>
      <c r="H204" s="1">
        <v>0.01</v>
      </c>
      <c r="I204" t="s">
        <v>28</v>
      </c>
      <c r="J204" s="1">
        <v>2743834.86</v>
      </c>
      <c r="K204" t="s">
        <v>26</v>
      </c>
      <c r="L204">
        <v>183148</v>
      </c>
      <c r="M204" t="s">
        <v>493</v>
      </c>
      <c r="O204">
        <v>1</v>
      </c>
    </row>
    <row r="205" spans="1:17" hidden="1" x14ac:dyDescent="0.25">
      <c r="A205">
        <v>8003879954</v>
      </c>
      <c r="B205">
        <v>30</v>
      </c>
      <c r="C205">
        <v>13072017</v>
      </c>
      <c r="D205">
        <v>489</v>
      </c>
      <c r="E205" t="s">
        <v>31</v>
      </c>
      <c r="F205">
        <v>9938</v>
      </c>
      <c r="G205" t="s">
        <v>489</v>
      </c>
      <c r="H205" s="1">
        <v>0.1</v>
      </c>
      <c r="I205" t="s">
        <v>28</v>
      </c>
      <c r="J205" s="1">
        <v>2743834.87</v>
      </c>
      <c r="K205" t="s">
        <v>26</v>
      </c>
      <c r="L205">
        <v>183148</v>
      </c>
      <c r="M205" t="s">
        <v>493</v>
      </c>
      <c r="O205">
        <v>1</v>
      </c>
    </row>
    <row r="206" spans="1:17" hidden="1" x14ac:dyDescent="0.25">
      <c r="A206">
        <v>8003879954</v>
      </c>
      <c r="B206">
        <v>29</v>
      </c>
      <c r="C206">
        <v>13072017</v>
      </c>
      <c r="D206">
        <v>341</v>
      </c>
      <c r="E206" t="s">
        <v>29</v>
      </c>
      <c r="F206">
        <v>9938</v>
      </c>
      <c r="G206" t="s">
        <v>494</v>
      </c>
      <c r="H206" s="1">
        <v>530.83000000000004</v>
      </c>
      <c r="I206" t="s">
        <v>28</v>
      </c>
      <c r="J206" s="1">
        <v>2743834.97</v>
      </c>
      <c r="K206" t="s">
        <v>26</v>
      </c>
      <c r="L206">
        <v>183147</v>
      </c>
      <c r="M206" t="s">
        <v>120</v>
      </c>
      <c r="O206">
        <v>1</v>
      </c>
      <c r="P206" t="s">
        <v>495</v>
      </c>
      <c r="Q206" t="s">
        <v>496</v>
      </c>
    </row>
    <row r="207" spans="1:17" x14ac:dyDescent="0.25">
      <c r="A207">
        <v>8003879954</v>
      </c>
      <c r="B207">
        <v>28</v>
      </c>
      <c r="C207">
        <v>13072017</v>
      </c>
      <c r="D207">
        <v>299</v>
      </c>
      <c r="E207" t="s">
        <v>30</v>
      </c>
      <c r="F207">
        <v>9938</v>
      </c>
      <c r="G207" t="s">
        <v>494</v>
      </c>
      <c r="H207" s="1">
        <v>0.01</v>
      </c>
      <c r="I207" t="s">
        <v>28</v>
      </c>
      <c r="J207" s="1">
        <v>2744365.8</v>
      </c>
      <c r="K207" t="s">
        <v>26</v>
      </c>
      <c r="L207">
        <v>183147</v>
      </c>
      <c r="M207" t="s">
        <v>497</v>
      </c>
      <c r="O207">
        <v>1</v>
      </c>
    </row>
    <row r="208" spans="1:17" hidden="1" x14ac:dyDescent="0.25">
      <c r="A208">
        <v>8003879954</v>
      </c>
      <c r="B208">
        <v>27</v>
      </c>
      <c r="C208">
        <v>13072017</v>
      </c>
      <c r="D208">
        <v>489</v>
      </c>
      <c r="E208" t="s">
        <v>31</v>
      </c>
      <c r="F208">
        <v>9938</v>
      </c>
      <c r="G208" t="s">
        <v>494</v>
      </c>
      <c r="H208" s="1">
        <v>0.1</v>
      </c>
      <c r="I208" t="s">
        <v>28</v>
      </c>
      <c r="J208" s="1">
        <v>2744365.81</v>
      </c>
      <c r="K208" t="s">
        <v>26</v>
      </c>
      <c r="L208">
        <v>183147</v>
      </c>
      <c r="M208" t="s">
        <v>497</v>
      </c>
      <c r="O208">
        <v>1</v>
      </c>
    </row>
    <row r="209" spans="1:17" hidden="1" x14ac:dyDescent="0.25">
      <c r="A209">
        <v>8003879954</v>
      </c>
      <c r="B209">
        <v>26</v>
      </c>
      <c r="C209">
        <v>13072017</v>
      </c>
      <c r="D209">
        <v>341</v>
      </c>
      <c r="E209" t="s">
        <v>29</v>
      </c>
      <c r="F209">
        <v>9938</v>
      </c>
      <c r="G209" t="s">
        <v>498</v>
      </c>
      <c r="H209" s="1">
        <v>7420</v>
      </c>
      <c r="I209" t="s">
        <v>28</v>
      </c>
      <c r="J209" s="1">
        <v>2744365.91</v>
      </c>
      <c r="K209" t="s">
        <v>26</v>
      </c>
      <c r="L209">
        <v>183147</v>
      </c>
      <c r="M209" t="s">
        <v>499</v>
      </c>
      <c r="O209">
        <v>1</v>
      </c>
      <c r="P209" t="s">
        <v>500</v>
      </c>
      <c r="Q209" t="s">
        <v>501</v>
      </c>
    </row>
    <row r="210" spans="1:17" x14ac:dyDescent="0.25">
      <c r="A210">
        <v>8003879954</v>
      </c>
      <c r="B210">
        <v>25</v>
      </c>
      <c r="C210">
        <v>13072017</v>
      </c>
      <c r="D210">
        <v>299</v>
      </c>
      <c r="E210" t="s">
        <v>30</v>
      </c>
      <c r="F210">
        <v>9938</v>
      </c>
      <c r="G210" t="s">
        <v>498</v>
      </c>
      <c r="H210" s="1">
        <v>0.01</v>
      </c>
      <c r="I210" t="s">
        <v>28</v>
      </c>
      <c r="J210" s="1">
        <v>2751785.91</v>
      </c>
      <c r="K210" t="s">
        <v>26</v>
      </c>
      <c r="L210">
        <v>183147</v>
      </c>
      <c r="M210" t="s">
        <v>502</v>
      </c>
      <c r="O210">
        <v>1</v>
      </c>
    </row>
    <row r="211" spans="1:17" hidden="1" x14ac:dyDescent="0.25">
      <c r="A211">
        <v>8003879954</v>
      </c>
      <c r="B211">
        <v>24</v>
      </c>
      <c r="C211">
        <v>13072017</v>
      </c>
      <c r="D211">
        <v>489</v>
      </c>
      <c r="E211" t="s">
        <v>31</v>
      </c>
      <c r="F211">
        <v>9938</v>
      </c>
      <c r="G211" t="s">
        <v>498</v>
      </c>
      <c r="H211" s="1">
        <v>0.1</v>
      </c>
      <c r="I211" t="s">
        <v>28</v>
      </c>
      <c r="J211" s="1">
        <v>2751785.92</v>
      </c>
      <c r="K211" t="s">
        <v>26</v>
      </c>
      <c r="L211">
        <v>183147</v>
      </c>
      <c r="M211" t="s">
        <v>502</v>
      </c>
      <c r="O211">
        <v>1</v>
      </c>
    </row>
    <row r="212" spans="1:17" hidden="1" x14ac:dyDescent="0.25">
      <c r="A212">
        <v>8003879954</v>
      </c>
      <c r="B212">
        <v>23</v>
      </c>
      <c r="C212">
        <v>13072017</v>
      </c>
      <c r="D212">
        <v>60</v>
      </c>
      <c r="E212" t="s">
        <v>43</v>
      </c>
      <c r="F212">
        <v>9938</v>
      </c>
      <c r="G212" t="s">
        <v>503</v>
      </c>
      <c r="H212" s="1">
        <v>753</v>
      </c>
      <c r="I212" t="s">
        <v>28</v>
      </c>
      <c r="J212" s="1">
        <v>2751786.02</v>
      </c>
      <c r="K212" t="s">
        <v>26</v>
      </c>
      <c r="L212">
        <v>183144</v>
      </c>
      <c r="M212" t="s">
        <v>504</v>
      </c>
      <c r="O212">
        <v>1</v>
      </c>
      <c r="P212" t="s">
        <v>505</v>
      </c>
      <c r="Q212" t="s">
        <v>74</v>
      </c>
    </row>
    <row r="213" spans="1:17" hidden="1" x14ac:dyDescent="0.25">
      <c r="A213">
        <v>8003879954</v>
      </c>
      <c r="B213">
        <v>22</v>
      </c>
      <c r="C213">
        <v>13072017</v>
      </c>
      <c r="D213">
        <v>341</v>
      </c>
      <c r="E213" t="s">
        <v>29</v>
      </c>
      <c r="F213">
        <v>9938</v>
      </c>
      <c r="G213" t="s">
        <v>506</v>
      </c>
      <c r="H213" s="1">
        <v>2649.5</v>
      </c>
      <c r="I213" t="s">
        <v>28</v>
      </c>
      <c r="J213" s="1">
        <v>2752539.02</v>
      </c>
      <c r="K213" t="s">
        <v>26</v>
      </c>
      <c r="L213">
        <v>182753</v>
      </c>
      <c r="M213" t="s">
        <v>507</v>
      </c>
      <c r="O213">
        <v>1</v>
      </c>
      <c r="P213" t="s">
        <v>508</v>
      </c>
      <c r="Q213" t="s">
        <v>509</v>
      </c>
    </row>
    <row r="214" spans="1:17" x14ac:dyDescent="0.25">
      <c r="A214">
        <v>8003879954</v>
      </c>
      <c r="B214">
        <v>21</v>
      </c>
      <c r="C214">
        <v>13072017</v>
      </c>
      <c r="D214">
        <v>299</v>
      </c>
      <c r="E214" t="s">
        <v>30</v>
      </c>
      <c r="F214">
        <v>9938</v>
      </c>
      <c r="G214" t="s">
        <v>506</v>
      </c>
      <c r="H214" s="1">
        <v>0.01</v>
      </c>
      <c r="I214" t="s">
        <v>28</v>
      </c>
      <c r="J214" s="1">
        <v>2755188.52</v>
      </c>
      <c r="K214" t="s">
        <v>26</v>
      </c>
      <c r="L214">
        <v>182753</v>
      </c>
      <c r="M214" t="s">
        <v>510</v>
      </c>
      <c r="O214">
        <v>1</v>
      </c>
    </row>
    <row r="215" spans="1:17" hidden="1" x14ac:dyDescent="0.25">
      <c r="A215">
        <v>8003879954</v>
      </c>
      <c r="B215">
        <v>20</v>
      </c>
      <c r="C215">
        <v>13072017</v>
      </c>
      <c r="D215">
        <v>489</v>
      </c>
      <c r="E215" t="s">
        <v>31</v>
      </c>
      <c r="F215">
        <v>9938</v>
      </c>
      <c r="G215" t="s">
        <v>506</v>
      </c>
      <c r="H215" s="1">
        <v>0.1</v>
      </c>
      <c r="I215" t="s">
        <v>28</v>
      </c>
      <c r="J215" s="1">
        <v>2755188.53</v>
      </c>
      <c r="K215" t="s">
        <v>26</v>
      </c>
      <c r="L215">
        <v>182753</v>
      </c>
      <c r="M215" t="s">
        <v>510</v>
      </c>
      <c r="O215">
        <v>1</v>
      </c>
    </row>
    <row r="216" spans="1:17" hidden="1" x14ac:dyDescent="0.25">
      <c r="A216">
        <v>8003879954</v>
      </c>
      <c r="B216">
        <v>19</v>
      </c>
      <c r="C216">
        <v>13072017</v>
      </c>
      <c r="D216">
        <v>341</v>
      </c>
      <c r="E216" t="s">
        <v>29</v>
      </c>
      <c r="F216">
        <v>9938</v>
      </c>
      <c r="G216" t="s">
        <v>511</v>
      </c>
      <c r="H216" s="1">
        <v>480</v>
      </c>
      <c r="I216" t="s">
        <v>28</v>
      </c>
      <c r="J216" s="1">
        <v>2755188.63</v>
      </c>
      <c r="K216" t="s">
        <v>26</v>
      </c>
      <c r="L216">
        <v>182750</v>
      </c>
      <c r="M216" t="s">
        <v>512</v>
      </c>
      <c r="O216">
        <v>1</v>
      </c>
      <c r="P216" t="s">
        <v>513</v>
      </c>
      <c r="Q216" t="s">
        <v>514</v>
      </c>
    </row>
    <row r="217" spans="1:17" x14ac:dyDescent="0.25">
      <c r="A217">
        <v>8003879954</v>
      </c>
      <c r="B217">
        <v>18</v>
      </c>
      <c r="C217">
        <v>13072017</v>
      </c>
      <c r="D217">
        <v>299</v>
      </c>
      <c r="E217" t="s">
        <v>30</v>
      </c>
      <c r="F217">
        <v>9938</v>
      </c>
      <c r="G217" t="s">
        <v>511</v>
      </c>
      <c r="H217" s="1">
        <v>0.01</v>
      </c>
      <c r="I217" t="s">
        <v>28</v>
      </c>
      <c r="J217" s="1">
        <v>2755668.63</v>
      </c>
      <c r="K217" t="s">
        <v>26</v>
      </c>
      <c r="L217">
        <v>182750</v>
      </c>
      <c r="M217" t="s">
        <v>515</v>
      </c>
      <c r="O217">
        <v>1</v>
      </c>
    </row>
    <row r="218" spans="1:17" hidden="1" x14ac:dyDescent="0.25">
      <c r="A218">
        <v>8003879954</v>
      </c>
      <c r="B218">
        <v>17</v>
      </c>
      <c r="C218">
        <v>13072017</v>
      </c>
      <c r="D218">
        <v>489</v>
      </c>
      <c r="E218" t="s">
        <v>31</v>
      </c>
      <c r="F218">
        <v>9938</v>
      </c>
      <c r="G218" t="s">
        <v>511</v>
      </c>
      <c r="H218" s="1">
        <v>0.1</v>
      </c>
      <c r="I218" t="s">
        <v>28</v>
      </c>
      <c r="J218" s="1">
        <v>2755668.64</v>
      </c>
      <c r="K218" t="s">
        <v>26</v>
      </c>
      <c r="L218">
        <v>182750</v>
      </c>
      <c r="M218" t="s">
        <v>515</v>
      </c>
      <c r="O218">
        <v>1</v>
      </c>
    </row>
    <row r="219" spans="1:17" hidden="1" x14ac:dyDescent="0.25">
      <c r="A219">
        <v>8003879954</v>
      </c>
      <c r="B219">
        <v>16</v>
      </c>
      <c r="C219">
        <v>13072017</v>
      </c>
      <c r="D219">
        <v>341</v>
      </c>
      <c r="E219" t="s">
        <v>29</v>
      </c>
      <c r="F219">
        <v>9938</v>
      </c>
      <c r="G219" t="s">
        <v>516</v>
      </c>
      <c r="H219" s="1">
        <v>6837</v>
      </c>
      <c r="I219" t="s">
        <v>28</v>
      </c>
      <c r="J219" s="1">
        <v>2755668.74</v>
      </c>
      <c r="K219" t="s">
        <v>26</v>
      </c>
      <c r="L219">
        <v>182750</v>
      </c>
      <c r="M219" t="s">
        <v>517</v>
      </c>
      <c r="O219">
        <v>1</v>
      </c>
      <c r="P219" t="s">
        <v>518</v>
      </c>
      <c r="Q219" t="s">
        <v>519</v>
      </c>
    </row>
    <row r="220" spans="1:17" x14ac:dyDescent="0.25">
      <c r="A220">
        <v>8003879954</v>
      </c>
      <c r="B220">
        <v>15</v>
      </c>
      <c r="C220">
        <v>13072017</v>
      </c>
      <c r="D220">
        <v>299</v>
      </c>
      <c r="E220" t="s">
        <v>30</v>
      </c>
      <c r="F220">
        <v>9938</v>
      </c>
      <c r="G220" t="s">
        <v>516</v>
      </c>
      <c r="H220" s="1">
        <v>0.01</v>
      </c>
      <c r="I220" t="s">
        <v>28</v>
      </c>
      <c r="J220" s="1">
        <v>2762505.74</v>
      </c>
      <c r="K220" t="s">
        <v>26</v>
      </c>
      <c r="L220">
        <v>182750</v>
      </c>
      <c r="M220" t="s">
        <v>520</v>
      </c>
      <c r="O220">
        <v>1</v>
      </c>
    </row>
    <row r="221" spans="1:17" hidden="1" x14ac:dyDescent="0.25">
      <c r="A221">
        <v>8003879954</v>
      </c>
      <c r="B221">
        <v>14</v>
      </c>
      <c r="C221">
        <v>13072017</v>
      </c>
      <c r="D221">
        <v>489</v>
      </c>
      <c r="E221" t="s">
        <v>31</v>
      </c>
      <c r="F221">
        <v>9938</v>
      </c>
      <c r="G221" t="s">
        <v>516</v>
      </c>
      <c r="H221" s="1">
        <v>0.1</v>
      </c>
      <c r="I221" t="s">
        <v>28</v>
      </c>
      <c r="J221" s="1">
        <v>2762505.75</v>
      </c>
      <c r="K221" t="s">
        <v>26</v>
      </c>
      <c r="L221">
        <v>182750</v>
      </c>
      <c r="M221" t="s">
        <v>520</v>
      </c>
      <c r="O221">
        <v>1</v>
      </c>
    </row>
    <row r="222" spans="1:17" hidden="1" x14ac:dyDescent="0.25">
      <c r="A222">
        <v>8003879954</v>
      </c>
      <c r="B222">
        <v>13</v>
      </c>
      <c r="C222">
        <v>13072017</v>
      </c>
      <c r="D222">
        <v>60</v>
      </c>
      <c r="E222" t="s">
        <v>43</v>
      </c>
      <c r="F222">
        <v>9938</v>
      </c>
      <c r="G222" t="s">
        <v>521</v>
      </c>
      <c r="H222" s="1">
        <v>3165</v>
      </c>
      <c r="I222" t="s">
        <v>28</v>
      </c>
      <c r="J222" s="1">
        <v>2762505.85</v>
      </c>
      <c r="K222" t="s">
        <v>26</v>
      </c>
      <c r="L222">
        <v>182748</v>
      </c>
      <c r="M222" t="s">
        <v>65</v>
      </c>
      <c r="O222">
        <v>1</v>
      </c>
      <c r="P222" t="s">
        <v>522</v>
      </c>
      <c r="Q222" t="s">
        <v>523</v>
      </c>
    </row>
    <row r="223" spans="1:17" hidden="1" x14ac:dyDescent="0.25">
      <c r="A223">
        <v>8003879954</v>
      </c>
      <c r="B223">
        <v>12</v>
      </c>
      <c r="C223">
        <v>13072017</v>
      </c>
      <c r="D223">
        <v>341</v>
      </c>
      <c r="E223" t="s">
        <v>29</v>
      </c>
      <c r="F223">
        <v>9938</v>
      </c>
      <c r="G223" t="s">
        <v>524</v>
      </c>
      <c r="H223" s="1">
        <v>3392</v>
      </c>
      <c r="I223" t="s">
        <v>28</v>
      </c>
      <c r="J223" s="1">
        <v>2765670.85</v>
      </c>
      <c r="K223" t="s">
        <v>26</v>
      </c>
      <c r="L223">
        <v>182750</v>
      </c>
      <c r="M223" t="s">
        <v>525</v>
      </c>
      <c r="O223">
        <v>1</v>
      </c>
      <c r="P223" t="s">
        <v>526</v>
      </c>
      <c r="Q223" t="s">
        <v>527</v>
      </c>
    </row>
    <row r="224" spans="1:17" x14ac:dyDescent="0.25">
      <c r="A224">
        <v>8003879954</v>
      </c>
      <c r="B224">
        <v>11</v>
      </c>
      <c r="C224">
        <v>13072017</v>
      </c>
      <c r="D224">
        <v>299</v>
      </c>
      <c r="E224" t="s">
        <v>30</v>
      </c>
      <c r="F224">
        <v>9938</v>
      </c>
      <c r="G224" t="s">
        <v>524</v>
      </c>
      <c r="H224" s="1">
        <v>0.01</v>
      </c>
      <c r="I224" t="s">
        <v>28</v>
      </c>
      <c r="J224" s="1">
        <v>2769062.85</v>
      </c>
      <c r="K224" t="s">
        <v>26</v>
      </c>
      <c r="L224">
        <v>182750</v>
      </c>
      <c r="M224" t="s">
        <v>528</v>
      </c>
      <c r="O224">
        <v>1</v>
      </c>
    </row>
    <row r="225" spans="1:17" hidden="1" x14ac:dyDescent="0.25">
      <c r="A225">
        <v>8003879954</v>
      </c>
      <c r="B225">
        <v>10</v>
      </c>
      <c r="C225">
        <v>13072017</v>
      </c>
      <c r="D225">
        <v>489</v>
      </c>
      <c r="E225" t="s">
        <v>31</v>
      </c>
      <c r="F225">
        <v>9938</v>
      </c>
      <c r="G225" t="s">
        <v>524</v>
      </c>
      <c r="H225" s="1">
        <v>0.1</v>
      </c>
      <c r="I225" t="s">
        <v>28</v>
      </c>
      <c r="J225" s="1">
        <v>2769062.86</v>
      </c>
      <c r="K225" t="s">
        <v>26</v>
      </c>
      <c r="L225">
        <v>182750</v>
      </c>
      <c r="M225" t="s">
        <v>528</v>
      </c>
      <c r="O225">
        <v>1</v>
      </c>
    </row>
    <row r="226" spans="1:17" hidden="1" x14ac:dyDescent="0.25">
      <c r="A226">
        <v>8003879954</v>
      </c>
      <c r="B226">
        <v>9</v>
      </c>
      <c r="C226">
        <v>13072017</v>
      </c>
      <c r="D226">
        <v>60</v>
      </c>
      <c r="E226" t="s">
        <v>43</v>
      </c>
      <c r="F226">
        <v>9938</v>
      </c>
      <c r="G226" t="s">
        <v>529</v>
      </c>
      <c r="H226" s="1">
        <v>390</v>
      </c>
      <c r="I226" t="s">
        <v>28</v>
      </c>
      <c r="J226" s="1">
        <v>2769062.96</v>
      </c>
      <c r="K226" t="s">
        <v>26</v>
      </c>
      <c r="L226">
        <v>182749</v>
      </c>
      <c r="M226" t="s">
        <v>530</v>
      </c>
      <c r="O226">
        <v>1</v>
      </c>
      <c r="P226" t="s">
        <v>531</v>
      </c>
      <c r="Q226" t="s">
        <v>532</v>
      </c>
    </row>
    <row r="227" spans="1:17" hidden="1" x14ac:dyDescent="0.25">
      <c r="A227">
        <v>8003879954</v>
      </c>
      <c r="B227">
        <v>8</v>
      </c>
      <c r="C227">
        <v>13072017</v>
      </c>
      <c r="D227">
        <v>341</v>
      </c>
      <c r="E227" t="s">
        <v>29</v>
      </c>
      <c r="F227">
        <v>9938</v>
      </c>
      <c r="G227" t="s">
        <v>533</v>
      </c>
      <c r="H227" s="1">
        <v>3614.6</v>
      </c>
      <c r="I227" t="s">
        <v>28</v>
      </c>
      <c r="J227" s="1">
        <v>2769452.96</v>
      </c>
      <c r="K227" t="s">
        <v>26</v>
      </c>
      <c r="L227">
        <v>182748</v>
      </c>
      <c r="M227" t="s">
        <v>113</v>
      </c>
      <c r="O227">
        <v>1</v>
      </c>
      <c r="P227" t="s">
        <v>534</v>
      </c>
      <c r="Q227" t="s">
        <v>535</v>
      </c>
    </row>
    <row r="228" spans="1:17" x14ac:dyDescent="0.25">
      <c r="A228">
        <v>8003879954</v>
      </c>
      <c r="B228">
        <v>7</v>
      </c>
      <c r="C228">
        <v>13072017</v>
      </c>
      <c r="D228">
        <v>299</v>
      </c>
      <c r="E228" t="s">
        <v>30</v>
      </c>
      <c r="F228">
        <v>9938</v>
      </c>
      <c r="G228" t="s">
        <v>533</v>
      </c>
      <c r="H228" s="1">
        <v>0.01</v>
      </c>
      <c r="I228" t="s">
        <v>28</v>
      </c>
      <c r="J228" s="1">
        <v>2773067.56</v>
      </c>
      <c r="K228" t="s">
        <v>26</v>
      </c>
      <c r="L228">
        <v>182748</v>
      </c>
      <c r="M228" t="s">
        <v>536</v>
      </c>
      <c r="O228">
        <v>1</v>
      </c>
    </row>
    <row r="229" spans="1:17" hidden="1" x14ac:dyDescent="0.25">
      <c r="A229">
        <v>8003879954</v>
      </c>
      <c r="B229">
        <v>6</v>
      </c>
      <c r="C229">
        <v>13072017</v>
      </c>
      <c r="D229">
        <v>489</v>
      </c>
      <c r="E229" t="s">
        <v>31</v>
      </c>
      <c r="F229">
        <v>9938</v>
      </c>
      <c r="G229" t="s">
        <v>533</v>
      </c>
      <c r="H229" s="1">
        <v>0.1</v>
      </c>
      <c r="I229" t="s">
        <v>28</v>
      </c>
      <c r="J229" s="1">
        <v>2773067.57</v>
      </c>
      <c r="K229" t="s">
        <v>26</v>
      </c>
      <c r="L229">
        <v>182748</v>
      </c>
      <c r="M229" t="s">
        <v>536</v>
      </c>
      <c r="O229">
        <v>1</v>
      </c>
    </row>
    <row r="230" spans="1:17" hidden="1" x14ac:dyDescent="0.25">
      <c r="A230">
        <v>8003879954</v>
      </c>
      <c r="B230">
        <v>5</v>
      </c>
      <c r="C230">
        <v>13072017</v>
      </c>
      <c r="D230">
        <v>341</v>
      </c>
      <c r="E230" t="s">
        <v>29</v>
      </c>
      <c r="F230">
        <v>9938</v>
      </c>
      <c r="G230" t="s">
        <v>537</v>
      </c>
      <c r="H230" s="1">
        <v>760</v>
      </c>
      <c r="I230" t="s">
        <v>28</v>
      </c>
      <c r="J230" s="1">
        <v>2773067.67</v>
      </c>
      <c r="K230" t="s">
        <v>26</v>
      </c>
      <c r="L230">
        <v>182748</v>
      </c>
      <c r="M230" t="s">
        <v>178</v>
      </c>
      <c r="O230">
        <v>1</v>
      </c>
      <c r="P230" t="s">
        <v>538</v>
      </c>
      <c r="Q230" t="s">
        <v>539</v>
      </c>
    </row>
    <row r="231" spans="1:17" x14ac:dyDescent="0.25">
      <c r="A231">
        <v>8003879954</v>
      </c>
      <c r="B231">
        <v>4</v>
      </c>
      <c r="C231">
        <v>13072017</v>
      </c>
      <c r="D231">
        <v>299</v>
      </c>
      <c r="E231" t="s">
        <v>30</v>
      </c>
      <c r="F231">
        <v>9938</v>
      </c>
      <c r="G231" t="s">
        <v>537</v>
      </c>
      <c r="H231" s="1">
        <v>0.01</v>
      </c>
      <c r="I231" t="s">
        <v>28</v>
      </c>
      <c r="J231" s="1">
        <v>2773827.67</v>
      </c>
      <c r="K231" t="s">
        <v>26</v>
      </c>
      <c r="L231">
        <v>182748</v>
      </c>
      <c r="M231" t="s">
        <v>540</v>
      </c>
      <c r="O231">
        <v>1</v>
      </c>
    </row>
    <row r="232" spans="1:17" hidden="1" x14ac:dyDescent="0.25">
      <c r="A232">
        <v>8003879954</v>
      </c>
      <c r="B232">
        <v>3</v>
      </c>
      <c r="C232">
        <v>13072017</v>
      </c>
      <c r="D232">
        <v>489</v>
      </c>
      <c r="E232" t="s">
        <v>31</v>
      </c>
      <c r="F232">
        <v>9938</v>
      </c>
      <c r="G232" t="s">
        <v>537</v>
      </c>
      <c r="H232" s="1">
        <v>0.1</v>
      </c>
      <c r="I232" t="s">
        <v>28</v>
      </c>
      <c r="J232" s="1">
        <v>2773827.68</v>
      </c>
      <c r="K232" t="s">
        <v>26</v>
      </c>
      <c r="L232">
        <v>182748</v>
      </c>
      <c r="M232" t="s">
        <v>540</v>
      </c>
      <c r="O232">
        <v>1</v>
      </c>
    </row>
    <row r="233" spans="1:17" hidden="1" x14ac:dyDescent="0.25">
      <c r="A233">
        <v>8003879954</v>
      </c>
      <c r="B233">
        <v>2</v>
      </c>
      <c r="C233">
        <v>13072017</v>
      </c>
      <c r="D233">
        <v>60</v>
      </c>
      <c r="E233" t="s">
        <v>43</v>
      </c>
      <c r="F233">
        <v>9938</v>
      </c>
      <c r="G233" t="s">
        <v>541</v>
      </c>
      <c r="H233" s="1">
        <v>560</v>
      </c>
      <c r="I233" t="s">
        <v>28</v>
      </c>
      <c r="J233" s="1">
        <v>2773827.78</v>
      </c>
      <c r="K233" t="s">
        <v>26</v>
      </c>
      <c r="L233">
        <v>182748</v>
      </c>
      <c r="M233" t="s">
        <v>542</v>
      </c>
      <c r="O233">
        <v>1</v>
      </c>
      <c r="P233" t="s">
        <v>543</v>
      </c>
      <c r="Q233" t="s">
        <v>544</v>
      </c>
    </row>
    <row r="234" spans="1:17" hidden="1" x14ac:dyDescent="0.25">
      <c r="A234">
        <v>8003879954</v>
      </c>
      <c r="B234">
        <v>1</v>
      </c>
      <c r="C234">
        <v>13072017</v>
      </c>
      <c r="D234">
        <v>60</v>
      </c>
      <c r="E234" t="s">
        <v>43</v>
      </c>
      <c r="F234">
        <v>9938</v>
      </c>
      <c r="G234" t="s">
        <v>545</v>
      </c>
      <c r="H234" s="1">
        <v>2450</v>
      </c>
      <c r="I234" t="s">
        <v>28</v>
      </c>
      <c r="J234" s="1">
        <v>2774387.78</v>
      </c>
      <c r="K234" t="s">
        <v>26</v>
      </c>
      <c r="L234">
        <v>182748</v>
      </c>
      <c r="M234" t="s">
        <v>546</v>
      </c>
      <c r="O234">
        <v>1</v>
      </c>
      <c r="P234" t="s">
        <v>547</v>
      </c>
      <c r="Q234" t="s">
        <v>548</v>
      </c>
    </row>
    <row r="235" spans="1:17" hidden="1" x14ac:dyDescent="0.25">
      <c r="A235">
        <v>8003879954</v>
      </c>
      <c r="B235">
        <v>4</v>
      </c>
      <c r="C235">
        <v>12072017</v>
      </c>
      <c r="D235">
        <v>341</v>
      </c>
      <c r="E235" t="s">
        <v>29</v>
      </c>
      <c r="F235">
        <v>9938</v>
      </c>
      <c r="G235" t="s">
        <v>549</v>
      </c>
      <c r="H235" s="1">
        <v>2541.88</v>
      </c>
      <c r="I235" t="s">
        <v>28</v>
      </c>
      <c r="J235" s="1">
        <v>2776837.78</v>
      </c>
      <c r="K235" t="s">
        <v>26</v>
      </c>
      <c r="L235">
        <v>183305</v>
      </c>
      <c r="M235" t="s">
        <v>550</v>
      </c>
      <c r="O235">
        <v>1</v>
      </c>
      <c r="P235" t="s">
        <v>551</v>
      </c>
      <c r="Q235" t="s">
        <v>552</v>
      </c>
    </row>
    <row r="236" spans="1:17" x14ac:dyDescent="0.25">
      <c r="A236">
        <v>8003879954</v>
      </c>
      <c r="B236">
        <v>3</v>
      </c>
      <c r="C236">
        <v>12072017</v>
      </c>
      <c r="D236">
        <v>299</v>
      </c>
      <c r="E236" t="s">
        <v>30</v>
      </c>
      <c r="F236">
        <v>9938</v>
      </c>
      <c r="G236" t="s">
        <v>549</v>
      </c>
      <c r="H236" s="1">
        <v>0.01</v>
      </c>
      <c r="I236" t="s">
        <v>28</v>
      </c>
      <c r="J236" s="1">
        <v>2779379.66</v>
      </c>
      <c r="K236" t="s">
        <v>26</v>
      </c>
      <c r="L236">
        <v>183305</v>
      </c>
      <c r="M236" t="s">
        <v>553</v>
      </c>
      <c r="O236">
        <v>1</v>
      </c>
    </row>
    <row r="237" spans="1:17" hidden="1" x14ac:dyDescent="0.25">
      <c r="A237">
        <v>8003879954</v>
      </c>
      <c r="B237">
        <v>2</v>
      </c>
      <c r="C237">
        <v>12072017</v>
      </c>
      <c r="D237">
        <v>489</v>
      </c>
      <c r="E237" t="s">
        <v>31</v>
      </c>
      <c r="F237">
        <v>9938</v>
      </c>
      <c r="G237" t="s">
        <v>549</v>
      </c>
      <c r="H237" s="1">
        <v>0.1</v>
      </c>
      <c r="I237" t="s">
        <v>28</v>
      </c>
      <c r="J237" s="1">
        <v>2779379.67</v>
      </c>
      <c r="K237" t="s">
        <v>26</v>
      </c>
      <c r="L237">
        <v>183305</v>
      </c>
      <c r="M237" t="s">
        <v>553</v>
      </c>
      <c r="O237">
        <v>1</v>
      </c>
    </row>
    <row r="238" spans="1:17" hidden="1" x14ac:dyDescent="0.25">
      <c r="A238">
        <v>8003879954</v>
      </c>
      <c r="B238">
        <v>1</v>
      </c>
      <c r="C238">
        <v>12072017</v>
      </c>
      <c r="D238">
        <v>214</v>
      </c>
      <c r="E238" t="s">
        <v>554</v>
      </c>
      <c r="F238">
        <v>6879</v>
      </c>
      <c r="G238" t="s">
        <v>555</v>
      </c>
      <c r="H238" s="1">
        <v>57240</v>
      </c>
      <c r="I238" t="s">
        <v>26</v>
      </c>
      <c r="J238" s="1">
        <v>2779379.77</v>
      </c>
      <c r="K238" t="s">
        <v>26</v>
      </c>
      <c r="L238">
        <v>100049</v>
      </c>
      <c r="M238" t="s">
        <v>53</v>
      </c>
      <c r="O238">
        <v>1</v>
      </c>
    </row>
    <row r="239" spans="1:17" x14ac:dyDescent="0.25">
      <c r="A239">
        <v>8003879954</v>
      </c>
      <c r="B239">
        <v>7</v>
      </c>
      <c r="C239">
        <v>11072017</v>
      </c>
      <c r="D239">
        <v>299</v>
      </c>
      <c r="E239" t="s">
        <v>30</v>
      </c>
      <c r="H239" s="1">
        <v>0.15</v>
      </c>
      <c r="I239" t="s">
        <v>28</v>
      </c>
      <c r="J239" s="1">
        <v>2722139.77</v>
      </c>
      <c r="K239" t="s">
        <v>26</v>
      </c>
      <c r="L239">
        <v>5937</v>
      </c>
      <c r="M239" t="s">
        <v>53</v>
      </c>
      <c r="O239">
        <v>1</v>
      </c>
    </row>
    <row r="240" spans="1:17" hidden="1" x14ac:dyDescent="0.25">
      <c r="A240">
        <v>8003879954</v>
      </c>
      <c r="B240">
        <v>6</v>
      </c>
      <c r="C240">
        <v>11072017</v>
      </c>
      <c r="D240">
        <v>819</v>
      </c>
      <c r="E240" t="s">
        <v>32</v>
      </c>
      <c r="H240" s="1">
        <v>2.5</v>
      </c>
      <c r="I240" t="s">
        <v>28</v>
      </c>
      <c r="J240" s="1">
        <v>2722139.92</v>
      </c>
      <c r="K240" t="s">
        <v>26</v>
      </c>
      <c r="L240">
        <v>5937</v>
      </c>
      <c r="M240" t="s">
        <v>53</v>
      </c>
      <c r="O240">
        <v>1</v>
      </c>
    </row>
    <row r="241" spans="1:18" hidden="1" x14ac:dyDescent="0.25">
      <c r="A241">
        <v>8003879954</v>
      </c>
      <c r="B241">
        <v>5</v>
      </c>
      <c r="C241">
        <v>11072017</v>
      </c>
      <c r="D241">
        <v>323</v>
      </c>
      <c r="E241" t="s">
        <v>33</v>
      </c>
      <c r="F241">
        <v>0</v>
      </c>
      <c r="G241" t="s">
        <v>556</v>
      </c>
      <c r="H241" s="1">
        <v>127302</v>
      </c>
      <c r="I241" t="s">
        <v>28</v>
      </c>
      <c r="J241" s="1">
        <v>2722142.42</v>
      </c>
      <c r="K241" t="s">
        <v>26</v>
      </c>
      <c r="L241">
        <v>5807</v>
      </c>
      <c r="M241" t="s">
        <v>53</v>
      </c>
      <c r="O241">
        <v>1</v>
      </c>
    </row>
    <row r="242" spans="1:18" hidden="1" x14ac:dyDescent="0.25">
      <c r="A242">
        <v>8003879954</v>
      </c>
      <c r="B242">
        <v>4</v>
      </c>
      <c r="C242">
        <v>11072017</v>
      </c>
      <c r="D242">
        <v>323</v>
      </c>
      <c r="E242" t="s">
        <v>33</v>
      </c>
      <c r="F242">
        <v>0</v>
      </c>
      <c r="G242" t="s">
        <v>557</v>
      </c>
      <c r="H242" s="1">
        <v>57240</v>
      </c>
      <c r="I242" t="s">
        <v>28</v>
      </c>
      <c r="J242" s="1">
        <v>2849444.42</v>
      </c>
      <c r="K242" t="s">
        <v>26</v>
      </c>
      <c r="L242">
        <v>5807</v>
      </c>
      <c r="M242" t="s">
        <v>53</v>
      </c>
      <c r="O242">
        <v>1</v>
      </c>
    </row>
    <row r="243" spans="1:18" hidden="1" x14ac:dyDescent="0.25">
      <c r="A243">
        <v>8003879954</v>
      </c>
      <c r="B243">
        <v>3</v>
      </c>
      <c r="C243">
        <v>11072017</v>
      </c>
      <c r="D243">
        <v>323</v>
      </c>
      <c r="E243" t="s">
        <v>33</v>
      </c>
      <c r="F243">
        <v>0</v>
      </c>
      <c r="G243" t="s">
        <v>558</v>
      </c>
      <c r="H243" s="1">
        <v>10000</v>
      </c>
      <c r="I243" t="s">
        <v>28</v>
      </c>
      <c r="J243" s="1">
        <v>2906684.42</v>
      </c>
      <c r="K243" t="s">
        <v>26</v>
      </c>
      <c r="L243">
        <v>5807</v>
      </c>
      <c r="M243" t="s">
        <v>53</v>
      </c>
      <c r="O243">
        <v>1</v>
      </c>
    </row>
    <row r="244" spans="1:18" hidden="1" x14ac:dyDescent="0.25">
      <c r="A244">
        <v>8003879954</v>
      </c>
      <c r="B244">
        <v>2</v>
      </c>
      <c r="C244">
        <v>11072017</v>
      </c>
      <c r="D244">
        <v>323</v>
      </c>
      <c r="E244" t="s">
        <v>33</v>
      </c>
      <c r="F244">
        <v>0</v>
      </c>
      <c r="G244" t="s">
        <v>559</v>
      </c>
      <c r="H244" s="1">
        <v>4717</v>
      </c>
      <c r="I244" t="s">
        <v>28</v>
      </c>
      <c r="J244" s="1">
        <v>2916684.42</v>
      </c>
      <c r="K244" t="s">
        <v>26</v>
      </c>
      <c r="L244">
        <v>5807</v>
      </c>
      <c r="M244" t="s">
        <v>53</v>
      </c>
      <c r="O244">
        <v>1</v>
      </c>
    </row>
    <row r="245" spans="1:18" hidden="1" x14ac:dyDescent="0.25">
      <c r="A245">
        <v>8003879954</v>
      </c>
      <c r="B245">
        <v>1</v>
      </c>
      <c r="C245">
        <v>11072017</v>
      </c>
      <c r="D245">
        <v>323</v>
      </c>
      <c r="E245" t="s">
        <v>33</v>
      </c>
      <c r="F245">
        <v>0</v>
      </c>
      <c r="G245" t="s">
        <v>560</v>
      </c>
      <c r="H245" s="1">
        <v>1567.6</v>
      </c>
      <c r="I245" t="s">
        <v>28</v>
      </c>
      <c r="J245" s="1">
        <v>2921401.42</v>
      </c>
      <c r="K245" t="s">
        <v>26</v>
      </c>
      <c r="L245">
        <v>5807</v>
      </c>
      <c r="M245" t="s">
        <v>53</v>
      </c>
      <c r="O245">
        <v>1</v>
      </c>
    </row>
    <row r="246" spans="1:18" x14ac:dyDescent="0.25">
      <c r="A246">
        <v>8003879954</v>
      </c>
      <c r="B246">
        <v>5</v>
      </c>
      <c r="C246">
        <v>10072017</v>
      </c>
      <c r="D246">
        <v>299</v>
      </c>
      <c r="E246" t="s">
        <v>30</v>
      </c>
      <c r="H246" s="1">
        <v>0.06</v>
      </c>
      <c r="I246" t="s">
        <v>28</v>
      </c>
      <c r="J246" s="1">
        <v>2922969.02</v>
      </c>
      <c r="K246" t="s">
        <v>26</v>
      </c>
      <c r="L246">
        <v>15240</v>
      </c>
      <c r="M246" t="s">
        <v>53</v>
      </c>
      <c r="O246">
        <v>1</v>
      </c>
    </row>
    <row r="247" spans="1:18" hidden="1" x14ac:dyDescent="0.25">
      <c r="A247">
        <v>8003879954</v>
      </c>
      <c r="B247">
        <v>4</v>
      </c>
      <c r="C247">
        <v>10072017</v>
      </c>
      <c r="D247">
        <v>819</v>
      </c>
      <c r="E247" t="s">
        <v>32</v>
      </c>
      <c r="H247" s="1">
        <v>1</v>
      </c>
      <c r="I247" t="s">
        <v>28</v>
      </c>
      <c r="J247" s="1">
        <v>2922969.08</v>
      </c>
      <c r="K247" t="s">
        <v>26</v>
      </c>
      <c r="L247">
        <v>15240</v>
      </c>
      <c r="M247" t="s">
        <v>53</v>
      </c>
      <c r="O247">
        <v>1</v>
      </c>
    </row>
    <row r="248" spans="1:18" hidden="1" x14ac:dyDescent="0.25">
      <c r="A248">
        <v>8003879954</v>
      </c>
      <c r="B248">
        <v>3</v>
      </c>
      <c r="C248">
        <v>10072017</v>
      </c>
      <c r="D248">
        <v>323</v>
      </c>
      <c r="E248" t="s">
        <v>33</v>
      </c>
      <c r="F248">
        <v>0</v>
      </c>
      <c r="G248" t="s">
        <v>561</v>
      </c>
      <c r="H248" s="1">
        <v>10667.84</v>
      </c>
      <c r="I248" t="s">
        <v>28</v>
      </c>
      <c r="J248" s="1">
        <v>2922970.08</v>
      </c>
      <c r="K248" t="s">
        <v>26</v>
      </c>
      <c r="L248">
        <v>15126</v>
      </c>
      <c r="M248" t="s">
        <v>53</v>
      </c>
      <c r="O248">
        <v>1</v>
      </c>
    </row>
    <row r="249" spans="1:18" hidden="1" x14ac:dyDescent="0.25">
      <c r="A249">
        <v>8003879954</v>
      </c>
      <c r="B249">
        <v>2</v>
      </c>
      <c r="C249">
        <v>10072017</v>
      </c>
      <c r="D249">
        <v>323</v>
      </c>
      <c r="E249" t="s">
        <v>33</v>
      </c>
      <c r="F249">
        <v>0</v>
      </c>
      <c r="G249" t="s">
        <v>562</v>
      </c>
      <c r="H249" s="1">
        <v>21407</v>
      </c>
      <c r="I249" t="s">
        <v>28</v>
      </c>
      <c r="J249" s="1">
        <v>2933637.92</v>
      </c>
      <c r="K249" t="s">
        <v>26</v>
      </c>
      <c r="L249">
        <v>15126</v>
      </c>
      <c r="M249" t="s">
        <v>53</v>
      </c>
      <c r="O249">
        <v>1</v>
      </c>
    </row>
    <row r="250" spans="1:18" hidden="1" x14ac:dyDescent="0.25">
      <c r="A250">
        <v>8003879954</v>
      </c>
      <c r="B250">
        <v>1</v>
      </c>
      <c r="C250">
        <v>10072017</v>
      </c>
      <c r="D250">
        <v>102</v>
      </c>
      <c r="E250" t="s">
        <v>46</v>
      </c>
      <c r="F250">
        <v>9815</v>
      </c>
      <c r="G250" t="s">
        <v>563</v>
      </c>
      <c r="H250" s="1">
        <v>1000</v>
      </c>
      <c r="I250" t="s">
        <v>26</v>
      </c>
      <c r="J250" s="1">
        <v>2955044.92</v>
      </c>
      <c r="K250" t="s">
        <v>26</v>
      </c>
      <c r="L250">
        <v>162842</v>
      </c>
      <c r="M250" t="s">
        <v>53</v>
      </c>
      <c r="O250">
        <v>1</v>
      </c>
    </row>
    <row r="251" spans="1:18" hidden="1" x14ac:dyDescent="0.25">
      <c r="A251">
        <v>8003879954</v>
      </c>
      <c r="B251">
        <v>4</v>
      </c>
      <c r="C251">
        <v>7072017</v>
      </c>
      <c r="D251">
        <v>5</v>
      </c>
      <c r="E251" t="str">
        <f>"REMITTANCE CR"</f>
        <v>REMITTANCE CR</v>
      </c>
      <c r="H251" s="1">
        <v>1000000</v>
      </c>
      <c r="I251" t="s">
        <v>26</v>
      </c>
      <c r="J251" s="1">
        <v>2954044.92</v>
      </c>
      <c r="K251" t="s">
        <v>26</v>
      </c>
      <c r="L251">
        <v>91127</v>
      </c>
      <c r="M251" t="str">
        <f>"/ROC/024100P0931485 BENDAHARI NEGERI PUL"</f>
        <v>/ROC/024100P0931485 BENDAHARI NEGERI PUL</v>
      </c>
      <c r="O251">
        <v>1</v>
      </c>
      <c r="P251" t="str">
        <f>"024100P0931485"</f>
        <v>024100P0931485</v>
      </c>
      <c r="Q251" t="str">
        <f>"Outward RTGS"</f>
        <v>Outward RTGS</v>
      </c>
      <c r="R251" t="str">
        <f>"BENDAHARI NEGERI PUL"</f>
        <v>BENDAHARI NEGERI PUL</v>
      </c>
    </row>
    <row r="252" spans="1:18" hidden="1" x14ac:dyDescent="0.25">
      <c r="A252">
        <v>8003879954</v>
      </c>
      <c r="B252">
        <v>3</v>
      </c>
      <c r="C252">
        <v>7072017</v>
      </c>
      <c r="D252">
        <v>5</v>
      </c>
      <c r="E252" t="str">
        <f>"REMITTANCE CR"</f>
        <v>REMITTANCE CR</v>
      </c>
      <c r="H252" s="1">
        <v>400000</v>
      </c>
      <c r="I252" t="s">
        <v>26</v>
      </c>
      <c r="J252" s="1">
        <v>1954044.92</v>
      </c>
      <c r="K252" t="s">
        <v>26</v>
      </c>
      <c r="L252">
        <v>91127</v>
      </c>
      <c r="M252" t="str">
        <f>"/ROC/024100P0931478 BENDAHARI NEGERI PUL"</f>
        <v>/ROC/024100P0931478 BENDAHARI NEGERI PUL</v>
      </c>
      <c r="O252">
        <v>1</v>
      </c>
      <c r="P252" t="str">
        <f>"024100P0931478"</f>
        <v>024100P0931478</v>
      </c>
      <c r="Q252" t="str">
        <f>"Outward RTGS"</f>
        <v>Outward RTGS</v>
      </c>
      <c r="R252" t="str">
        <f>"BENDAHARI NEGERI PUL"</f>
        <v>BENDAHARI NEGERI PUL</v>
      </c>
    </row>
    <row r="253" spans="1:18" hidden="1" x14ac:dyDescent="0.25">
      <c r="A253">
        <v>8003879954</v>
      </c>
      <c r="B253">
        <v>2</v>
      </c>
      <c r="C253">
        <v>7072017</v>
      </c>
      <c r="D253">
        <v>5</v>
      </c>
      <c r="E253" t="str">
        <f>"REMITTANCE CR"</f>
        <v>REMITTANCE CR</v>
      </c>
      <c r="H253" s="1">
        <v>450000</v>
      </c>
      <c r="I253" t="s">
        <v>26</v>
      </c>
      <c r="J253" s="1">
        <v>1554044.92</v>
      </c>
      <c r="K253" t="s">
        <v>26</v>
      </c>
      <c r="L253">
        <v>91127</v>
      </c>
      <c r="M253" t="str">
        <f>"/ROC/024100P0931483 BENDAHARI NEGERI PUL"</f>
        <v>/ROC/024100P0931483 BENDAHARI NEGERI PUL</v>
      </c>
      <c r="O253">
        <v>1</v>
      </c>
      <c r="P253" t="str">
        <f>"024100P0931483"</f>
        <v>024100P0931483</v>
      </c>
      <c r="Q253" t="str">
        <f>"Outward RTGS"</f>
        <v>Outward RTGS</v>
      </c>
      <c r="R253" t="str">
        <f>"BENDAHARI NEGERI PUL"</f>
        <v>BENDAHARI NEGERI PUL</v>
      </c>
    </row>
    <row r="254" spans="1:18" hidden="1" x14ac:dyDescent="0.25">
      <c r="A254">
        <v>8003879954</v>
      </c>
      <c r="B254">
        <v>1</v>
      </c>
      <c r="C254">
        <v>7072017</v>
      </c>
      <c r="D254">
        <v>5</v>
      </c>
      <c r="E254" t="str">
        <f>"REMITTANCE CR"</f>
        <v>REMITTANCE CR</v>
      </c>
      <c r="H254" s="1">
        <v>800000</v>
      </c>
      <c r="I254" t="s">
        <v>26</v>
      </c>
      <c r="J254" s="1">
        <v>1104044.92</v>
      </c>
      <c r="K254" t="s">
        <v>26</v>
      </c>
      <c r="L254">
        <v>91126</v>
      </c>
      <c r="M254" t="str">
        <f>"/ROC/024100P0931484 BENDAHARI NEGERI PUL"</f>
        <v>/ROC/024100P0931484 BENDAHARI NEGERI PUL</v>
      </c>
      <c r="O254">
        <v>1</v>
      </c>
      <c r="P254" t="str">
        <f>"024100P0931484"</f>
        <v>024100P0931484</v>
      </c>
      <c r="Q254" t="str">
        <f>"Outward RTGS"</f>
        <v>Outward RTGS</v>
      </c>
      <c r="R254" t="str">
        <f>"BENDAHARI NEGERI PUL"</f>
        <v>BENDAHARI NEGERI PUL</v>
      </c>
    </row>
    <row r="255" spans="1:18" x14ac:dyDescent="0.25">
      <c r="A255">
        <v>8003879954</v>
      </c>
      <c r="B255">
        <v>13</v>
      </c>
      <c r="C255">
        <v>6072017</v>
      </c>
      <c r="D255">
        <v>299</v>
      </c>
      <c r="E255" t="str">
        <f>"GST"</f>
        <v>GST</v>
      </c>
      <c r="H255" s="1">
        <v>0.03</v>
      </c>
      <c r="I255" t="s">
        <v>28</v>
      </c>
      <c r="J255" s="1">
        <v>304044.92</v>
      </c>
      <c r="K255" t="s">
        <v>26</v>
      </c>
      <c r="L255">
        <v>10042</v>
      </c>
      <c r="M255" t="str">
        <f>""</f>
        <v/>
      </c>
      <c r="O255">
        <v>1</v>
      </c>
    </row>
    <row r="256" spans="1:18" hidden="1" x14ac:dyDescent="0.25">
      <c r="A256">
        <v>8003879954</v>
      </c>
      <c r="B256">
        <v>12</v>
      </c>
      <c r="C256">
        <v>6072017</v>
      </c>
      <c r="D256">
        <v>819</v>
      </c>
      <c r="E256" t="str">
        <f>"CHQ PROCESSING FEE"</f>
        <v>CHQ PROCESSING FEE</v>
      </c>
      <c r="H256" s="1">
        <v>0.5</v>
      </c>
      <c r="I256" t="s">
        <v>28</v>
      </c>
      <c r="J256" s="1">
        <v>304044.95</v>
      </c>
      <c r="K256" t="s">
        <v>26</v>
      </c>
      <c r="L256">
        <v>10042</v>
      </c>
      <c r="M256" t="str">
        <f>""</f>
        <v/>
      </c>
      <c r="O256">
        <v>1</v>
      </c>
    </row>
    <row r="257" spans="1:17" x14ac:dyDescent="0.25">
      <c r="A257">
        <v>8003879954</v>
      </c>
      <c r="B257">
        <v>11</v>
      </c>
      <c r="C257">
        <v>6072017</v>
      </c>
      <c r="D257">
        <v>299</v>
      </c>
      <c r="E257" t="str">
        <f>"GST"</f>
        <v>GST</v>
      </c>
      <c r="H257" s="1">
        <v>0.03</v>
      </c>
      <c r="I257" t="s">
        <v>28</v>
      </c>
      <c r="J257" s="1">
        <v>304045.45</v>
      </c>
      <c r="K257" t="s">
        <v>26</v>
      </c>
      <c r="L257">
        <v>10041</v>
      </c>
      <c r="M257" t="str">
        <f>""</f>
        <v/>
      </c>
      <c r="O257">
        <v>1</v>
      </c>
    </row>
    <row r="258" spans="1:17" hidden="1" x14ac:dyDescent="0.25">
      <c r="A258">
        <v>8003879954</v>
      </c>
      <c r="B258">
        <v>10</v>
      </c>
      <c r="C258">
        <v>6072017</v>
      </c>
      <c r="D258">
        <v>819</v>
      </c>
      <c r="E258" t="str">
        <f>"CHQ PROCESSING FEE"</f>
        <v>CHQ PROCESSING FEE</v>
      </c>
      <c r="H258" s="1">
        <v>0.5</v>
      </c>
      <c r="I258" t="s">
        <v>28</v>
      </c>
      <c r="J258" s="1">
        <v>304045.48</v>
      </c>
      <c r="K258" t="s">
        <v>26</v>
      </c>
      <c r="L258">
        <v>10041</v>
      </c>
      <c r="M258" t="str">
        <f>""</f>
        <v/>
      </c>
      <c r="O258">
        <v>1</v>
      </c>
    </row>
    <row r="259" spans="1:17" hidden="1" x14ac:dyDescent="0.25">
      <c r="A259">
        <v>8003879954</v>
      </c>
      <c r="B259">
        <v>9</v>
      </c>
      <c r="C259">
        <v>6072017</v>
      </c>
      <c r="D259">
        <v>323</v>
      </c>
      <c r="E259" t="str">
        <f>"CLRG CHQ DR"</f>
        <v>CLRG CHQ DR</v>
      </c>
      <c r="F259">
        <v>0</v>
      </c>
      <c r="G259" t="str">
        <f>"00687977"</f>
        <v>00687977</v>
      </c>
      <c r="H259" s="1">
        <v>107915.56</v>
      </c>
      <c r="I259" t="s">
        <v>28</v>
      </c>
      <c r="J259" s="1">
        <v>304045.98</v>
      </c>
      <c r="K259" t="s">
        <v>26</v>
      </c>
      <c r="L259">
        <v>5749</v>
      </c>
      <c r="M259" t="str">
        <f>""</f>
        <v/>
      </c>
      <c r="O259">
        <v>1</v>
      </c>
    </row>
    <row r="260" spans="1:17" hidden="1" x14ac:dyDescent="0.25">
      <c r="A260">
        <v>8003879954</v>
      </c>
      <c r="B260">
        <v>8</v>
      </c>
      <c r="C260">
        <v>6072017</v>
      </c>
      <c r="D260">
        <v>321</v>
      </c>
      <c r="E260" t="str">
        <f>"HOUSE CHQ DR"</f>
        <v>HOUSE CHQ DR</v>
      </c>
      <c r="F260">
        <v>0</v>
      </c>
      <c r="G260" t="str">
        <f>"00687972"</f>
        <v>00687972</v>
      </c>
      <c r="H260" s="1">
        <v>11478.05</v>
      </c>
      <c r="I260" t="s">
        <v>28</v>
      </c>
      <c r="J260" s="1">
        <v>411961.54</v>
      </c>
      <c r="K260" t="s">
        <v>26</v>
      </c>
      <c r="L260">
        <v>5749</v>
      </c>
      <c r="M260" t="str">
        <f>""</f>
        <v/>
      </c>
      <c r="O260">
        <v>1</v>
      </c>
    </row>
    <row r="261" spans="1:17" hidden="1" x14ac:dyDescent="0.25">
      <c r="A261">
        <v>8003879954</v>
      </c>
      <c r="B261">
        <v>7</v>
      </c>
      <c r="C261">
        <v>6072017</v>
      </c>
      <c r="D261">
        <v>341</v>
      </c>
      <c r="E261" t="str">
        <f>"TR IBG"</f>
        <v>TR IBG</v>
      </c>
      <c r="F261">
        <v>9938</v>
      </c>
      <c r="G261" t="str">
        <f>"18402718"</f>
        <v>18402718</v>
      </c>
      <c r="H261" s="1">
        <v>6773.46</v>
      </c>
      <c r="I261" t="s">
        <v>28</v>
      </c>
      <c r="J261" s="1">
        <v>423439.59</v>
      </c>
      <c r="K261" t="s">
        <v>26</v>
      </c>
      <c r="L261">
        <v>151828</v>
      </c>
      <c r="M261" t="str">
        <f>"KUA JANICE TZE PHING"</f>
        <v>KUA JANICE TZE PHING</v>
      </c>
      <c r="O261">
        <v>1</v>
      </c>
      <c r="P261" t="str">
        <f>"PGTEFT2413"</f>
        <v>PGTEFT2413</v>
      </c>
      <c r="Q261" t="str">
        <f>"FB BOOSTING"</f>
        <v>FB BOOSTING</v>
      </c>
    </row>
    <row r="262" spans="1:17" x14ac:dyDescent="0.25">
      <c r="A262">
        <v>8003879954</v>
      </c>
      <c r="B262">
        <v>6</v>
      </c>
      <c r="C262">
        <v>6072017</v>
      </c>
      <c r="D262">
        <v>299</v>
      </c>
      <c r="E262" t="str">
        <f>"GST"</f>
        <v>GST</v>
      </c>
      <c r="F262">
        <v>9938</v>
      </c>
      <c r="G262" t="str">
        <f>"18402718"</f>
        <v>18402718</v>
      </c>
      <c r="H262" s="1">
        <v>0.01</v>
      </c>
      <c r="I262" t="s">
        <v>28</v>
      </c>
      <c r="J262" s="1">
        <v>430213.05</v>
      </c>
      <c r="K262" t="s">
        <v>26</v>
      </c>
      <c r="L262">
        <v>151828</v>
      </c>
      <c r="M262" t="str">
        <f>"PGTEFT2413          FB BOOSTING"</f>
        <v>PGTEFT2413          FB BOOSTING</v>
      </c>
      <c r="O262">
        <v>1</v>
      </c>
    </row>
    <row r="263" spans="1:17" hidden="1" x14ac:dyDescent="0.25">
      <c r="A263">
        <v>8003879954</v>
      </c>
      <c r="B263">
        <v>5</v>
      </c>
      <c r="C263">
        <v>6072017</v>
      </c>
      <c r="D263">
        <v>489</v>
      </c>
      <c r="E263" t="str">
        <f>"OTHER TRANSFER FEE"</f>
        <v>OTHER TRANSFER FEE</v>
      </c>
      <c r="F263">
        <v>9938</v>
      </c>
      <c r="G263" t="str">
        <f>"18402718"</f>
        <v>18402718</v>
      </c>
      <c r="H263" s="1">
        <v>0.1</v>
      </c>
      <c r="I263" t="s">
        <v>28</v>
      </c>
      <c r="J263" s="1">
        <v>430213.06</v>
      </c>
      <c r="K263" t="s">
        <v>26</v>
      </c>
      <c r="L263">
        <v>151828</v>
      </c>
      <c r="M263" t="str">
        <f>"PGTEFT2413          FB BOOSTING"</f>
        <v>PGTEFT2413          FB BOOSTING</v>
      </c>
      <c r="O263">
        <v>1</v>
      </c>
    </row>
    <row r="264" spans="1:17" hidden="1" x14ac:dyDescent="0.25">
      <c r="A264">
        <v>8003879954</v>
      </c>
      <c r="B264">
        <v>4</v>
      </c>
      <c r="C264">
        <v>6072017</v>
      </c>
      <c r="D264">
        <v>341</v>
      </c>
      <c r="E264" t="str">
        <f>"TR IBG"</f>
        <v>TR IBG</v>
      </c>
      <c r="F264">
        <v>9938</v>
      </c>
      <c r="G264" t="str">
        <f>"18402591"</f>
        <v>18402591</v>
      </c>
      <c r="H264" s="1">
        <v>2500</v>
      </c>
      <c r="I264" t="s">
        <v>28</v>
      </c>
      <c r="J264" s="1">
        <v>430213.16</v>
      </c>
      <c r="K264" t="s">
        <v>26</v>
      </c>
      <c r="L264">
        <v>151827</v>
      </c>
      <c r="M264" t="str">
        <f>"OON KOK EU"</f>
        <v>OON KOK EU</v>
      </c>
      <c r="O264">
        <v>1</v>
      </c>
      <c r="P264" t="str">
        <f>"PGTEFT2412"</f>
        <v>PGTEFT2412</v>
      </c>
      <c r="Q264" t="str">
        <f>"BROCHURE DISTRIBUTIO"</f>
        <v>BROCHURE DISTRIBUTIO</v>
      </c>
    </row>
    <row r="265" spans="1:17" x14ac:dyDescent="0.25">
      <c r="A265">
        <v>8003879954</v>
      </c>
      <c r="B265">
        <v>3</v>
      </c>
      <c r="C265">
        <v>6072017</v>
      </c>
      <c r="D265">
        <v>299</v>
      </c>
      <c r="E265" t="str">
        <f>"GST"</f>
        <v>GST</v>
      </c>
      <c r="F265">
        <v>9938</v>
      </c>
      <c r="G265" t="str">
        <f>"18402591"</f>
        <v>18402591</v>
      </c>
      <c r="H265" s="1">
        <v>0.01</v>
      </c>
      <c r="I265" t="s">
        <v>28</v>
      </c>
      <c r="J265" s="1">
        <v>432713.16</v>
      </c>
      <c r="K265" t="s">
        <v>26</v>
      </c>
      <c r="L265">
        <v>151827</v>
      </c>
      <c r="M265" t="str">
        <f>"PGTEFT2412          BROCHURE DISTRIBUTIO"</f>
        <v>PGTEFT2412          BROCHURE DISTRIBUTIO</v>
      </c>
      <c r="O265">
        <v>1</v>
      </c>
    </row>
    <row r="266" spans="1:17" hidden="1" x14ac:dyDescent="0.25">
      <c r="A266">
        <v>8003879954</v>
      </c>
      <c r="B266">
        <v>2</v>
      </c>
      <c r="C266">
        <v>6072017</v>
      </c>
      <c r="D266">
        <v>489</v>
      </c>
      <c r="E266" t="str">
        <f>"OTHER TRANSFER FEE"</f>
        <v>OTHER TRANSFER FEE</v>
      </c>
      <c r="F266">
        <v>9938</v>
      </c>
      <c r="G266" t="str">
        <f>"18402591"</f>
        <v>18402591</v>
      </c>
      <c r="H266" s="1">
        <v>0.1</v>
      </c>
      <c r="I266" t="s">
        <v>28</v>
      </c>
      <c r="J266" s="1">
        <v>432713.17</v>
      </c>
      <c r="K266" t="s">
        <v>26</v>
      </c>
      <c r="L266">
        <v>151827</v>
      </c>
      <c r="M266" t="str">
        <f>"PGTEFT2412          BROCHURE DISTRIBUTIO"</f>
        <v>PGTEFT2412          BROCHURE DISTRIBUTIO</v>
      </c>
      <c r="O266">
        <v>1</v>
      </c>
    </row>
    <row r="267" spans="1:17" hidden="1" x14ac:dyDescent="0.25">
      <c r="A267">
        <v>8003879954</v>
      </c>
      <c r="B267">
        <v>1</v>
      </c>
      <c r="C267">
        <v>6072017</v>
      </c>
      <c r="D267">
        <v>60</v>
      </c>
      <c r="E267" t="str">
        <f>"TR TO C/A"</f>
        <v>TR TO C/A</v>
      </c>
      <c r="F267">
        <v>9938</v>
      </c>
      <c r="G267" t="str">
        <f>"18402993"</f>
        <v>18402993</v>
      </c>
      <c r="H267" s="1">
        <v>122</v>
      </c>
      <c r="I267" t="s">
        <v>28</v>
      </c>
      <c r="J267" s="1">
        <v>432713.27</v>
      </c>
      <c r="K267" t="s">
        <v>26</v>
      </c>
      <c r="L267">
        <v>151827</v>
      </c>
      <c r="M267" t="str">
        <f>"NO. ANSURAN 6 CP204 AKAUN KJAAN MSIA PU"</f>
        <v>NO. ANSURAN 6 CP204 AKAUN KJAAN MSIA PU</v>
      </c>
      <c r="O267">
        <v>1</v>
      </c>
      <c r="P267" t="str">
        <f>"PGTEFT2411"</f>
        <v>PGTEFT2411</v>
      </c>
      <c r="Q267" t="str">
        <f>"NO RUJ C285195105"</f>
        <v>NO RUJ C285195105</v>
      </c>
    </row>
    <row r="268" spans="1:17" hidden="1" x14ac:dyDescent="0.25">
      <c r="A268">
        <v>8003879954</v>
      </c>
      <c r="B268">
        <v>1</v>
      </c>
      <c r="C268">
        <v>4072017</v>
      </c>
      <c r="D268">
        <v>123</v>
      </c>
      <c r="E268" t="str">
        <f>"2D LOCAL CHQ"</f>
        <v>2D LOCAL CHQ</v>
      </c>
      <c r="F268">
        <v>2007</v>
      </c>
      <c r="G268" t="str">
        <f>"00766526"</f>
        <v>00766526</v>
      </c>
      <c r="H268" s="1">
        <v>18450</v>
      </c>
      <c r="I268" t="s">
        <v>26</v>
      </c>
      <c r="J268" s="1">
        <v>432835.27</v>
      </c>
      <c r="K268" t="s">
        <v>26</v>
      </c>
      <c r="L268">
        <v>190953</v>
      </c>
      <c r="M268" t="str">
        <f>""</f>
        <v/>
      </c>
      <c r="O268">
        <v>1</v>
      </c>
    </row>
    <row r="269" spans="1:17" hidden="1" x14ac:dyDescent="0.25"/>
    <row r="270" spans="1:17" hidden="1" x14ac:dyDescent="0.25"/>
    <row r="271" spans="1:17" hidden="1" x14ac:dyDescent="0.25"/>
    <row r="272" spans="1:17" hidden="1" x14ac:dyDescent="0.25"/>
    <row r="273" spans="8:8" hidden="1" x14ac:dyDescent="0.25"/>
    <row r="274" spans="8:8" hidden="1" x14ac:dyDescent="0.25"/>
    <row r="275" spans="8:8" hidden="1" x14ac:dyDescent="0.25"/>
    <row r="277" spans="8:8" x14ac:dyDescent="0.25">
      <c r="H277" s="1">
        <f>SUBTOTAL(9,H8:H268)</f>
        <v>3.5499999999999883</v>
      </c>
    </row>
  </sheetData>
  <autoFilter ref="A7:R275">
    <filterColumn colId="4">
      <filters>
        <filter val="GST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2"/>
  <sheetViews>
    <sheetView topLeftCell="A43" workbookViewId="0">
      <selection activeCell="E11" sqref="E11"/>
    </sheetView>
  </sheetViews>
  <sheetFormatPr defaultRowHeight="15" x14ac:dyDescent="0.25"/>
  <cols>
    <col min="1" max="1" width="11" bestFit="1" customWidth="1"/>
    <col min="5" max="5" width="29.5703125" bestFit="1" customWidth="1"/>
    <col min="7" max="7" width="21.5703125" customWidth="1"/>
    <col min="8" max="8" width="13.28515625" style="1" bestFit="1" customWidth="1"/>
    <col min="10" max="10" width="13.28515625" style="1" bestFit="1" customWidth="1"/>
    <col min="11" max="11" width="11.5703125" bestFit="1" customWidth="1"/>
    <col min="13" max="13" width="47.7109375" bestFit="1" customWidth="1"/>
    <col min="17" max="17" width="23.7109375" bestFit="1" customWidth="1"/>
  </cols>
  <sheetData>
    <row r="1" spans="1:18" x14ac:dyDescent="0.25">
      <c r="A1" t="s">
        <v>0</v>
      </c>
      <c r="C1" s="8"/>
    </row>
    <row r="2" spans="1:18" x14ac:dyDescent="0.25">
      <c r="A2" t="s">
        <v>1</v>
      </c>
      <c r="B2" t="s">
        <v>2</v>
      </c>
      <c r="C2" s="8"/>
    </row>
    <row r="3" spans="1:18" x14ac:dyDescent="0.25">
      <c r="A3" t="s">
        <v>3</v>
      </c>
      <c r="C3" s="8"/>
    </row>
    <row r="4" spans="1:18" x14ac:dyDescent="0.25">
      <c r="A4" t="s">
        <v>419</v>
      </c>
      <c r="C4" s="8"/>
    </row>
    <row r="5" spans="1:18" x14ac:dyDescent="0.25">
      <c r="A5" t="s">
        <v>420</v>
      </c>
      <c r="C5" s="8"/>
    </row>
    <row r="6" spans="1:18" x14ac:dyDescent="0.25">
      <c r="A6" t="s">
        <v>421</v>
      </c>
      <c r="C6" s="8"/>
    </row>
    <row r="7" spans="1:18" x14ac:dyDescent="0.25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s="1" t="s">
        <v>14</v>
      </c>
      <c r="I7" t="s">
        <v>15</v>
      </c>
      <c r="J7" s="1" t="s">
        <v>16</v>
      </c>
      <c r="K7" t="s">
        <v>17</v>
      </c>
      <c r="L7" t="s">
        <v>18</v>
      </c>
      <c r="M7" t="s">
        <v>19</v>
      </c>
      <c r="N7" t="s">
        <v>20</v>
      </c>
      <c r="O7" t="s">
        <v>21</v>
      </c>
      <c r="P7" t="s">
        <v>22</v>
      </c>
      <c r="Q7" t="s">
        <v>23</v>
      </c>
      <c r="R7" t="s">
        <v>24</v>
      </c>
    </row>
    <row r="8" spans="1:18" x14ac:dyDescent="0.25">
      <c r="A8">
        <v>8003879954</v>
      </c>
      <c r="B8">
        <v>3</v>
      </c>
      <c r="C8">
        <v>31082017</v>
      </c>
      <c r="D8">
        <v>341</v>
      </c>
      <c r="E8" t="str">
        <f>"TR IBG"</f>
        <v>TR IBG</v>
      </c>
      <c r="F8">
        <v>9938</v>
      </c>
      <c r="G8" t="str">
        <f>"20334869"</f>
        <v>20334869</v>
      </c>
      <c r="H8" s="1">
        <v>2500</v>
      </c>
      <c r="I8" t="s">
        <v>28</v>
      </c>
      <c r="J8" s="1">
        <v>370519.39</v>
      </c>
      <c r="K8" t="s">
        <v>26</v>
      </c>
      <c r="L8">
        <v>80536</v>
      </c>
      <c r="M8" t="str">
        <f>"OON KOK EU"</f>
        <v>OON KOK EU</v>
      </c>
      <c r="O8">
        <v>1</v>
      </c>
      <c r="P8" t="str">
        <f>"PGTEFT2571"</f>
        <v>PGTEFT2571</v>
      </c>
      <c r="Q8" t="str">
        <f>"BROCHURE DISTRIBUTIO"</f>
        <v>BROCHURE DISTRIBUTIO</v>
      </c>
    </row>
    <row r="9" spans="1:18" x14ac:dyDescent="0.25">
      <c r="A9">
        <v>8003879954</v>
      </c>
      <c r="B9">
        <v>2</v>
      </c>
      <c r="C9">
        <v>31082017</v>
      </c>
      <c r="D9">
        <v>299</v>
      </c>
      <c r="E9" t="str">
        <f>"GST"</f>
        <v>GST</v>
      </c>
      <c r="F9">
        <v>9938</v>
      </c>
      <c r="G9" t="str">
        <f>"20334869"</f>
        <v>20334869</v>
      </c>
      <c r="H9" s="1">
        <v>0.01</v>
      </c>
      <c r="I9" t="s">
        <v>28</v>
      </c>
      <c r="J9" s="1">
        <v>373019.39</v>
      </c>
      <c r="K9" t="s">
        <v>26</v>
      </c>
      <c r="L9">
        <v>80536</v>
      </c>
      <c r="M9" t="str">
        <f>"PGTEFT2571          BROCHURE DISTRIBUTIO"</f>
        <v>PGTEFT2571          BROCHURE DISTRIBUTIO</v>
      </c>
      <c r="O9">
        <v>1</v>
      </c>
    </row>
    <row r="10" spans="1:18" x14ac:dyDescent="0.25">
      <c r="A10">
        <v>8003879954</v>
      </c>
      <c r="B10">
        <v>1</v>
      </c>
      <c r="C10">
        <v>31082017</v>
      </c>
      <c r="D10">
        <v>489</v>
      </c>
      <c r="E10" t="str">
        <f>"OTHER TRANSFER FEE"</f>
        <v>OTHER TRANSFER FEE</v>
      </c>
      <c r="F10">
        <v>9938</v>
      </c>
      <c r="G10" t="str">
        <f>"20334869"</f>
        <v>20334869</v>
      </c>
      <c r="H10" s="1">
        <v>0.1</v>
      </c>
      <c r="I10" t="s">
        <v>28</v>
      </c>
      <c r="J10" s="1">
        <v>373019.4</v>
      </c>
      <c r="K10" t="s">
        <v>26</v>
      </c>
      <c r="L10">
        <v>80536</v>
      </c>
      <c r="M10" t="str">
        <f>"PGTEFT2571          BROCHURE DISTRIBUTIO"</f>
        <v>PGTEFT2571          BROCHURE DISTRIBUTIO</v>
      </c>
      <c r="O10">
        <v>1</v>
      </c>
    </row>
    <row r="11" spans="1:18" x14ac:dyDescent="0.25">
      <c r="A11">
        <v>8003879954</v>
      </c>
      <c r="B11">
        <v>65</v>
      </c>
      <c r="C11">
        <v>30082017</v>
      </c>
      <c r="D11">
        <v>299</v>
      </c>
      <c r="E11" t="str">
        <f>"GST"</f>
        <v>GST</v>
      </c>
      <c r="H11" s="1">
        <v>0.03</v>
      </c>
      <c r="I11" t="s">
        <v>28</v>
      </c>
      <c r="J11" s="1">
        <v>373019.5</v>
      </c>
      <c r="K11" t="s">
        <v>26</v>
      </c>
      <c r="L11">
        <v>11756</v>
      </c>
      <c r="M11" t="str">
        <f>""</f>
        <v/>
      </c>
      <c r="O11">
        <v>1</v>
      </c>
    </row>
    <row r="12" spans="1:18" x14ac:dyDescent="0.25">
      <c r="A12">
        <v>8003879954</v>
      </c>
      <c r="B12">
        <v>64</v>
      </c>
      <c r="C12">
        <v>30082017</v>
      </c>
      <c r="D12">
        <v>819</v>
      </c>
      <c r="E12" t="str">
        <f>"CHQ PROCESSING FEE"</f>
        <v>CHQ PROCESSING FEE</v>
      </c>
      <c r="H12" s="1">
        <v>0.5</v>
      </c>
      <c r="I12" t="s">
        <v>28</v>
      </c>
      <c r="J12" s="1">
        <v>373019.53</v>
      </c>
      <c r="K12" t="s">
        <v>26</v>
      </c>
      <c r="L12">
        <v>11756</v>
      </c>
      <c r="M12" t="str">
        <f>""</f>
        <v/>
      </c>
      <c r="O12">
        <v>1</v>
      </c>
    </row>
    <row r="13" spans="1:18" x14ac:dyDescent="0.25">
      <c r="A13">
        <v>8003879954</v>
      </c>
      <c r="B13">
        <v>63</v>
      </c>
      <c r="C13">
        <v>30082017</v>
      </c>
      <c r="D13">
        <v>323</v>
      </c>
      <c r="E13" t="str">
        <f>"CLRG CHQ DR"</f>
        <v>CLRG CHQ DR</v>
      </c>
      <c r="F13">
        <v>0</v>
      </c>
      <c r="G13" t="str">
        <f>"00688025"</f>
        <v>00688025</v>
      </c>
      <c r="H13" s="1">
        <v>1250</v>
      </c>
      <c r="I13" t="s">
        <v>28</v>
      </c>
      <c r="J13" s="1">
        <v>373020.03</v>
      </c>
      <c r="K13" t="s">
        <v>26</v>
      </c>
      <c r="L13">
        <v>11606</v>
      </c>
      <c r="M13" t="str">
        <f>""</f>
        <v/>
      </c>
      <c r="O13">
        <v>1</v>
      </c>
    </row>
    <row r="14" spans="1:18" x14ac:dyDescent="0.25">
      <c r="A14">
        <v>8003879954</v>
      </c>
      <c r="B14">
        <v>62</v>
      </c>
      <c r="C14">
        <v>30082017</v>
      </c>
      <c r="D14">
        <v>341</v>
      </c>
      <c r="E14" t="str">
        <f>"TR IBG"</f>
        <v>TR IBG</v>
      </c>
      <c r="F14">
        <v>9938</v>
      </c>
      <c r="G14" t="str">
        <f>"20334096"</f>
        <v>20334096</v>
      </c>
      <c r="H14" s="1">
        <v>1000</v>
      </c>
      <c r="I14" t="s">
        <v>28</v>
      </c>
      <c r="J14" s="1">
        <v>374270.03</v>
      </c>
      <c r="K14" t="s">
        <v>26</v>
      </c>
      <c r="L14">
        <v>193336</v>
      </c>
      <c r="M14" t="str">
        <f>"LAW HENG KIANG"</f>
        <v>LAW HENG KIANG</v>
      </c>
      <c r="O14">
        <v>1</v>
      </c>
      <c r="P14" t="str">
        <f>"PGTEFT2544"</f>
        <v>PGTEFT2544</v>
      </c>
      <c r="Q14" t="str">
        <f>"PGT BOD MEETING ALLO"</f>
        <v>PGT BOD MEETING ALLO</v>
      </c>
    </row>
    <row r="15" spans="1:18" x14ac:dyDescent="0.25">
      <c r="A15">
        <v>8003879954</v>
      </c>
      <c r="B15">
        <v>61</v>
      </c>
      <c r="C15">
        <v>30082017</v>
      </c>
      <c r="D15">
        <v>299</v>
      </c>
      <c r="E15" t="str">
        <f>"GST"</f>
        <v>GST</v>
      </c>
      <c r="F15">
        <v>9938</v>
      </c>
      <c r="G15" t="str">
        <f>"20334096"</f>
        <v>20334096</v>
      </c>
      <c r="H15" s="1">
        <v>0.01</v>
      </c>
      <c r="I15" t="s">
        <v>28</v>
      </c>
      <c r="J15" s="1">
        <v>375270.03</v>
      </c>
      <c r="K15" t="s">
        <v>26</v>
      </c>
      <c r="L15">
        <v>193336</v>
      </c>
      <c r="M15" t="str">
        <f>"PGTEFT2544          PGT BOD MEETING ALLO"</f>
        <v>PGTEFT2544          PGT BOD MEETING ALLO</v>
      </c>
      <c r="O15">
        <v>1</v>
      </c>
    </row>
    <row r="16" spans="1:18" x14ac:dyDescent="0.25">
      <c r="A16">
        <v>8003879954</v>
      </c>
      <c r="B16">
        <v>60</v>
      </c>
      <c r="C16">
        <v>30082017</v>
      </c>
      <c r="D16">
        <v>489</v>
      </c>
      <c r="E16" t="str">
        <f>"OTHER TRANSFER FEE"</f>
        <v>OTHER TRANSFER FEE</v>
      </c>
      <c r="F16">
        <v>9938</v>
      </c>
      <c r="G16" t="str">
        <f>"20334096"</f>
        <v>20334096</v>
      </c>
      <c r="H16" s="1">
        <v>0.1</v>
      </c>
      <c r="I16" t="s">
        <v>28</v>
      </c>
      <c r="J16" s="1">
        <v>375270.04</v>
      </c>
      <c r="K16" t="s">
        <v>26</v>
      </c>
      <c r="L16">
        <v>193336</v>
      </c>
      <c r="M16" t="str">
        <f>"PGTEFT2544          PGT BOD MEETING ALLO"</f>
        <v>PGTEFT2544          PGT BOD MEETING ALLO</v>
      </c>
      <c r="O16">
        <v>1</v>
      </c>
    </row>
    <row r="17" spans="1:17" x14ac:dyDescent="0.25">
      <c r="A17">
        <v>8003879954</v>
      </c>
      <c r="B17">
        <v>59</v>
      </c>
      <c r="C17">
        <v>30082017</v>
      </c>
      <c r="D17">
        <v>341</v>
      </c>
      <c r="E17" t="str">
        <f>"TR IBG"</f>
        <v>TR IBG</v>
      </c>
      <c r="F17">
        <v>9938</v>
      </c>
      <c r="G17" t="str">
        <f>"20334242"</f>
        <v>20334242</v>
      </c>
      <c r="H17" s="1">
        <v>304.85000000000002</v>
      </c>
      <c r="I17" t="s">
        <v>28</v>
      </c>
      <c r="J17" s="1">
        <v>375270.14</v>
      </c>
      <c r="K17" t="s">
        <v>26</v>
      </c>
      <c r="L17">
        <v>193336</v>
      </c>
      <c r="M17" t="str">
        <f>"NUR AIN SURAYA BINTI"</f>
        <v>NUR AIN SURAYA BINTI</v>
      </c>
      <c r="O17">
        <v>1</v>
      </c>
      <c r="P17" t="str">
        <f>"PGTEFT2581"</f>
        <v>PGTEFT2581</v>
      </c>
      <c r="Q17" t="str">
        <f>"TRAINEE ALLOWANCE"</f>
        <v>TRAINEE ALLOWANCE</v>
      </c>
    </row>
    <row r="18" spans="1:17" x14ac:dyDescent="0.25">
      <c r="A18">
        <v>8003879954</v>
      </c>
      <c r="B18">
        <v>58</v>
      </c>
      <c r="C18">
        <v>30082017</v>
      </c>
      <c r="D18">
        <v>299</v>
      </c>
      <c r="E18" t="str">
        <f>"GST"</f>
        <v>GST</v>
      </c>
      <c r="F18">
        <v>9938</v>
      </c>
      <c r="G18" t="str">
        <f>"20334242"</f>
        <v>20334242</v>
      </c>
      <c r="H18" s="1">
        <v>0.01</v>
      </c>
      <c r="I18" t="s">
        <v>28</v>
      </c>
      <c r="J18" s="1">
        <v>375574.99</v>
      </c>
      <c r="K18" t="s">
        <v>26</v>
      </c>
      <c r="L18">
        <v>193336</v>
      </c>
      <c r="M18" t="str">
        <f>"PGTEFT2581          TRAINEE ALLOWANCE"</f>
        <v>PGTEFT2581          TRAINEE ALLOWANCE</v>
      </c>
      <c r="O18">
        <v>1</v>
      </c>
    </row>
    <row r="19" spans="1:17" x14ac:dyDescent="0.25">
      <c r="A19">
        <v>8003879954</v>
      </c>
      <c r="B19">
        <v>57</v>
      </c>
      <c r="C19">
        <v>30082017</v>
      </c>
      <c r="D19">
        <v>489</v>
      </c>
      <c r="E19" t="str">
        <f>"OTHER TRANSFER FEE"</f>
        <v>OTHER TRANSFER FEE</v>
      </c>
      <c r="F19">
        <v>9938</v>
      </c>
      <c r="G19" t="str">
        <f>"20334242"</f>
        <v>20334242</v>
      </c>
      <c r="H19" s="1">
        <v>0.1</v>
      </c>
      <c r="I19" t="s">
        <v>28</v>
      </c>
      <c r="J19" s="1">
        <v>375575</v>
      </c>
      <c r="K19" t="s">
        <v>26</v>
      </c>
      <c r="L19">
        <v>193336</v>
      </c>
      <c r="M19" t="str">
        <f>"PGTEFT2581          TRAINEE ALLOWANCE"</f>
        <v>PGTEFT2581          TRAINEE ALLOWANCE</v>
      </c>
      <c r="O19">
        <v>1</v>
      </c>
    </row>
    <row r="20" spans="1:17" x14ac:dyDescent="0.25">
      <c r="A20">
        <v>8003879954</v>
      </c>
      <c r="B20">
        <v>56</v>
      </c>
      <c r="C20">
        <v>30082017</v>
      </c>
      <c r="D20">
        <v>341</v>
      </c>
      <c r="E20" t="str">
        <f>"TR IBG"</f>
        <v>TR IBG</v>
      </c>
      <c r="F20">
        <v>9938</v>
      </c>
      <c r="G20" t="str">
        <f>"20334197"</f>
        <v>20334197</v>
      </c>
      <c r="H20" s="1">
        <v>1000</v>
      </c>
      <c r="I20" t="s">
        <v>28</v>
      </c>
      <c r="J20" s="1">
        <v>375575.1</v>
      </c>
      <c r="K20" t="s">
        <v>26</v>
      </c>
      <c r="L20">
        <v>193336</v>
      </c>
      <c r="M20" t="str">
        <f>"MUSTAFA KAMAL BIN MO"</f>
        <v>MUSTAFA KAMAL BIN MO</v>
      </c>
      <c r="O20">
        <v>1</v>
      </c>
      <c r="P20" t="str">
        <f>"PGTEFT2545"</f>
        <v>PGTEFT2545</v>
      </c>
      <c r="Q20" t="str">
        <f>"PGT BOD MEETING ALLO"</f>
        <v>PGT BOD MEETING ALLO</v>
      </c>
    </row>
    <row r="21" spans="1:17" x14ac:dyDescent="0.25">
      <c r="A21">
        <v>8003879954</v>
      </c>
      <c r="B21">
        <v>55</v>
      </c>
      <c r="C21">
        <v>30082017</v>
      </c>
      <c r="D21">
        <v>299</v>
      </c>
      <c r="E21" t="str">
        <f>"GST"</f>
        <v>GST</v>
      </c>
      <c r="F21">
        <v>9938</v>
      </c>
      <c r="G21" t="str">
        <f>"20334197"</f>
        <v>20334197</v>
      </c>
      <c r="H21" s="1">
        <v>0.01</v>
      </c>
      <c r="I21" t="s">
        <v>28</v>
      </c>
      <c r="J21" s="1">
        <v>376575.1</v>
      </c>
      <c r="K21" t="s">
        <v>26</v>
      </c>
      <c r="L21">
        <v>193336</v>
      </c>
      <c r="M21" t="str">
        <f>"PGTEFT2545          PGT BOD MEETING ALLO"</f>
        <v>PGTEFT2545          PGT BOD MEETING ALLO</v>
      </c>
      <c r="O21">
        <v>1</v>
      </c>
    </row>
    <row r="22" spans="1:17" x14ac:dyDescent="0.25">
      <c r="A22">
        <v>8003879954</v>
      </c>
      <c r="B22">
        <v>54</v>
      </c>
      <c r="C22">
        <v>30082017</v>
      </c>
      <c r="D22">
        <v>489</v>
      </c>
      <c r="E22" t="str">
        <f>"OTHER TRANSFER FEE"</f>
        <v>OTHER TRANSFER FEE</v>
      </c>
      <c r="F22">
        <v>9938</v>
      </c>
      <c r="G22" t="str">
        <f>"20334197"</f>
        <v>20334197</v>
      </c>
      <c r="H22" s="1">
        <v>0.1</v>
      </c>
      <c r="I22" t="s">
        <v>28</v>
      </c>
      <c r="J22" s="1">
        <v>376575.11</v>
      </c>
      <c r="K22" t="s">
        <v>26</v>
      </c>
      <c r="L22">
        <v>193336</v>
      </c>
      <c r="M22" t="str">
        <f>"PGTEFT2545          PGT BOD MEETING ALLO"</f>
        <v>PGTEFT2545          PGT BOD MEETING ALLO</v>
      </c>
      <c r="O22">
        <v>1</v>
      </c>
    </row>
    <row r="23" spans="1:17" x14ac:dyDescent="0.25">
      <c r="A23">
        <v>8003879954</v>
      </c>
      <c r="B23">
        <v>53</v>
      </c>
      <c r="C23">
        <v>30082017</v>
      </c>
      <c r="D23">
        <v>341</v>
      </c>
      <c r="E23" t="str">
        <f>"TR IBG"</f>
        <v>TR IBG</v>
      </c>
      <c r="F23">
        <v>9938</v>
      </c>
      <c r="G23" t="str">
        <f>"20333891"</f>
        <v>20333891</v>
      </c>
      <c r="H23" s="1">
        <v>1000</v>
      </c>
      <c r="I23" t="s">
        <v>28</v>
      </c>
      <c r="J23" s="1">
        <v>376575.21</v>
      </c>
      <c r="K23" t="s">
        <v>26</v>
      </c>
      <c r="L23">
        <v>193336</v>
      </c>
      <c r="M23" t="str">
        <f>"KENNETH TAN TEONG KE"</f>
        <v>KENNETH TAN TEONG KE</v>
      </c>
      <c r="O23">
        <v>1</v>
      </c>
      <c r="P23" t="str">
        <f>"PGTEFT2549"</f>
        <v>PGTEFT2549</v>
      </c>
      <c r="Q23" t="str">
        <f>"PGT BOD MEETING ALLO"</f>
        <v>PGT BOD MEETING ALLO</v>
      </c>
    </row>
    <row r="24" spans="1:17" x14ac:dyDescent="0.25">
      <c r="A24">
        <v>8003879954</v>
      </c>
      <c r="B24">
        <v>52</v>
      </c>
      <c r="C24">
        <v>30082017</v>
      </c>
      <c r="D24">
        <v>299</v>
      </c>
      <c r="E24" t="str">
        <f>"GST"</f>
        <v>GST</v>
      </c>
      <c r="F24">
        <v>9938</v>
      </c>
      <c r="G24" t="str">
        <f>"20333891"</f>
        <v>20333891</v>
      </c>
      <c r="H24" s="1">
        <v>0.01</v>
      </c>
      <c r="I24" t="s">
        <v>28</v>
      </c>
      <c r="J24" s="1">
        <v>377575.21</v>
      </c>
      <c r="K24" t="s">
        <v>26</v>
      </c>
      <c r="L24">
        <v>193336</v>
      </c>
      <c r="M24" t="str">
        <f>"PGTEFT2549          PGT BOD MEETING ALLO"</f>
        <v>PGTEFT2549          PGT BOD MEETING ALLO</v>
      </c>
      <c r="O24">
        <v>1</v>
      </c>
    </row>
    <row r="25" spans="1:17" x14ac:dyDescent="0.25">
      <c r="A25">
        <v>8003879954</v>
      </c>
      <c r="B25">
        <v>51</v>
      </c>
      <c r="C25">
        <v>30082017</v>
      </c>
      <c r="D25">
        <v>489</v>
      </c>
      <c r="E25" t="str">
        <f>"OTHER TRANSFER FEE"</f>
        <v>OTHER TRANSFER FEE</v>
      </c>
      <c r="F25">
        <v>9938</v>
      </c>
      <c r="G25" t="str">
        <f>"20333891"</f>
        <v>20333891</v>
      </c>
      <c r="H25" s="1">
        <v>0.1</v>
      </c>
      <c r="I25" t="s">
        <v>28</v>
      </c>
      <c r="J25" s="1">
        <v>377575.22</v>
      </c>
      <c r="K25" t="s">
        <v>26</v>
      </c>
      <c r="L25">
        <v>193336</v>
      </c>
      <c r="M25" t="str">
        <f>"PGTEFT2549          PGT BOD MEETING ALLO"</f>
        <v>PGTEFT2549          PGT BOD MEETING ALLO</v>
      </c>
      <c r="O25">
        <v>1</v>
      </c>
    </row>
    <row r="26" spans="1:17" x14ac:dyDescent="0.25">
      <c r="A26">
        <v>8003879954</v>
      </c>
      <c r="B26">
        <v>50</v>
      </c>
      <c r="C26">
        <v>30082017</v>
      </c>
      <c r="D26">
        <v>345</v>
      </c>
      <c r="E26" t="str">
        <f>"TR TO SAVINGS"</f>
        <v>TR TO SAVINGS</v>
      </c>
      <c r="F26">
        <v>9938</v>
      </c>
      <c r="G26" t="str">
        <f>"20334320"</f>
        <v>20334320</v>
      </c>
      <c r="H26" s="1">
        <v>8244.77</v>
      </c>
      <c r="I26" t="s">
        <v>28</v>
      </c>
      <c r="J26" s="1">
        <v>377575.32</v>
      </c>
      <c r="K26" t="s">
        <v>26</v>
      </c>
      <c r="L26">
        <v>193335</v>
      </c>
      <c r="M26" t="str">
        <f>"KL TRIP YOON PAULINE"</f>
        <v>KL TRIP YOON PAULINE</v>
      </c>
      <c r="O26">
        <v>1</v>
      </c>
      <c r="P26" t="str">
        <f>"PGTEFT2580"</f>
        <v>PGTEFT2580</v>
      </c>
      <c r="Q26" t="str">
        <f>"PTE SARAWAK SG TRIP"</f>
        <v>PTE SARAWAK SG TRIP</v>
      </c>
    </row>
    <row r="27" spans="1:17" x14ac:dyDescent="0.25">
      <c r="A27">
        <v>8003879954</v>
      </c>
      <c r="B27">
        <v>49</v>
      </c>
      <c r="C27">
        <v>30082017</v>
      </c>
      <c r="D27">
        <v>60</v>
      </c>
      <c r="E27" t="str">
        <f>"TR TO C/A"</f>
        <v>TR TO C/A</v>
      </c>
      <c r="F27">
        <v>9938</v>
      </c>
      <c r="G27" t="str">
        <f>"20334437"</f>
        <v>20334437</v>
      </c>
      <c r="H27" s="1">
        <v>270</v>
      </c>
      <c r="I27" t="s">
        <v>28</v>
      </c>
      <c r="J27" s="1">
        <v>385820.09</v>
      </c>
      <c r="K27" t="s">
        <v>26</v>
      </c>
      <c r="L27">
        <v>192908</v>
      </c>
      <c r="M27" t="str">
        <f>"GUIDE FEE FOR AUG TOH KIM HOCK"</f>
        <v>GUIDE FEE FOR AUG TOH KIM HOCK</v>
      </c>
      <c r="O27">
        <v>1</v>
      </c>
      <c r="P27" t="str">
        <f>"PGTEFT2579"</f>
        <v>PGTEFT2579</v>
      </c>
      <c r="Q27" t="str">
        <f>"INV115T"</f>
        <v>INV115T</v>
      </c>
    </row>
    <row r="28" spans="1:17" x14ac:dyDescent="0.25">
      <c r="A28">
        <v>8003879954</v>
      </c>
      <c r="B28">
        <v>48</v>
      </c>
      <c r="C28">
        <v>30082017</v>
      </c>
      <c r="D28">
        <v>341</v>
      </c>
      <c r="E28" t="str">
        <f>"TR IBG"</f>
        <v>TR IBG</v>
      </c>
      <c r="F28">
        <v>9938</v>
      </c>
      <c r="G28" t="str">
        <f>"20334545"</f>
        <v>20334545</v>
      </c>
      <c r="H28" s="1">
        <v>1800</v>
      </c>
      <c r="I28" t="s">
        <v>28</v>
      </c>
      <c r="J28" s="1">
        <v>386090.09</v>
      </c>
      <c r="K28" t="s">
        <v>26</v>
      </c>
      <c r="L28">
        <v>192907</v>
      </c>
      <c r="M28" t="str">
        <f>"LOUISE GOSS-CUSTARD"</f>
        <v>LOUISE GOSS-CUSTARD</v>
      </c>
      <c r="O28">
        <v>1</v>
      </c>
      <c r="P28" t="str">
        <f>"PGTEFT2577"</f>
        <v>PGTEFT2577</v>
      </c>
      <c r="Q28" t="str">
        <f>"PGT005"</f>
        <v>PGT005</v>
      </c>
    </row>
    <row r="29" spans="1:17" x14ac:dyDescent="0.25">
      <c r="A29">
        <v>8003879954</v>
      </c>
      <c r="B29">
        <v>47</v>
      </c>
      <c r="C29">
        <v>30082017</v>
      </c>
      <c r="D29">
        <v>299</v>
      </c>
      <c r="E29" t="str">
        <f>"GST"</f>
        <v>GST</v>
      </c>
      <c r="F29">
        <v>9938</v>
      </c>
      <c r="G29" t="str">
        <f>"20334545"</f>
        <v>20334545</v>
      </c>
      <c r="H29" s="1">
        <v>0.01</v>
      </c>
      <c r="I29" t="s">
        <v>28</v>
      </c>
      <c r="J29" s="1">
        <v>387890.09</v>
      </c>
      <c r="K29" t="s">
        <v>26</v>
      </c>
      <c r="L29">
        <v>192907</v>
      </c>
      <c r="M29" t="str">
        <f>"PGTEFT2577          PGT005"</f>
        <v>PGTEFT2577          PGT005</v>
      </c>
      <c r="O29">
        <v>1</v>
      </c>
    </row>
    <row r="30" spans="1:17" x14ac:dyDescent="0.25">
      <c r="A30">
        <v>8003879954</v>
      </c>
      <c r="B30">
        <v>46</v>
      </c>
      <c r="C30">
        <v>30082017</v>
      </c>
      <c r="D30">
        <v>489</v>
      </c>
      <c r="E30" t="str">
        <f>"OTHER TRANSFER FEE"</f>
        <v>OTHER TRANSFER FEE</v>
      </c>
      <c r="F30">
        <v>9938</v>
      </c>
      <c r="G30" t="str">
        <f>"20334545"</f>
        <v>20334545</v>
      </c>
      <c r="H30" s="1">
        <v>0.1</v>
      </c>
      <c r="I30" t="s">
        <v>28</v>
      </c>
      <c r="J30" s="1">
        <v>387890.1</v>
      </c>
      <c r="K30" t="s">
        <v>26</v>
      </c>
      <c r="L30">
        <v>192907</v>
      </c>
      <c r="M30" t="str">
        <f>"PGTEFT2577          PGT005"</f>
        <v>PGTEFT2577          PGT005</v>
      </c>
      <c r="O30">
        <v>1</v>
      </c>
    </row>
    <row r="31" spans="1:17" x14ac:dyDescent="0.25">
      <c r="A31">
        <v>8003879954</v>
      </c>
      <c r="B31">
        <v>45</v>
      </c>
      <c r="C31">
        <v>30082017</v>
      </c>
      <c r="D31">
        <v>341</v>
      </c>
      <c r="E31" t="str">
        <f>"TR IBG"</f>
        <v>TR IBG</v>
      </c>
      <c r="F31">
        <v>9938</v>
      </c>
      <c r="G31" t="str">
        <f>"20334609"</f>
        <v>20334609</v>
      </c>
      <c r="H31" s="1">
        <v>184.45</v>
      </c>
      <c r="I31" t="s">
        <v>28</v>
      </c>
      <c r="J31" s="1">
        <v>387890.2</v>
      </c>
      <c r="K31" t="s">
        <v>26</v>
      </c>
      <c r="L31">
        <v>192907</v>
      </c>
      <c r="M31" t="str">
        <f>"TOP ONE DIGITAL SHOP"</f>
        <v>TOP ONE DIGITAL SHOP</v>
      </c>
      <c r="O31">
        <v>1</v>
      </c>
      <c r="P31" t="str">
        <f>"PGTEFT2575"</f>
        <v>PGTEFT2575</v>
      </c>
      <c r="Q31" t="str">
        <f>"IV-0024360"</f>
        <v>IV-0024360</v>
      </c>
    </row>
    <row r="32" spans="1:17" x14ac:dyDescent="0.25">
      <c r="A32">
        <v>8003879954</v>
      </c>
      <c r="B32">
        <v>44</v>
      </c>
      <c r="C32">
        <v>30082017</v>
      </c>
      <c r="D32">
        <v>299</v>
      </c>
      <c r="E32" t="str">
        <f>"GST"</f>
        <v>GST</v>
      </c>
      <c r="F32">
        <v>9938</v>
      </c>
      <c r="G32" t="str">
        <f>"20334609"</f>
        <v>20334609</v>
      </c>
      <c r="H32" s="1">
        <v>0.01</v>
      </c>
      <c r="I32" t="s">
        <v>28</v>
      </c>
      <c r="J32" s="1">
        <v>388074.65</v>
      </c>
      <c r="K32" t="s">
        <v>26</v>
      </c>
      <c r="L32">
        <v>192907</v>
      </c>
      <c r="M32" t="str">
        <f>"PGTEFT2575          IV-0024360"</f>
        <v>PGTEFT2575          IV-0024360</v>
      </c>
      <c r="O32">
        <v>1</v>
      </c>
    </row>
    <row r="33" spans="1:17" x14ac:dyDescent="0.25">
      <c r="A33">
        <v>8003879954</v>
      </c>
      <c r="B33">
        <v>43</v>
      </c>
      <c r="C33">
        <v>30082017</v>
      </c>
      <c r="D33">
        <v>489</v>
      </c>
      <c r="E33" t="str">
        <f>"OTHER TRANSFER FEE"</f>
        <v>OTHER TRANSFER FEE</v>
      </c>
      <c r="F33">
        <v>9938</v>
      </c>
      <c r="G33" t="str">
        <f>"20334609"</f>
        <v>20334609</v>
      </c>
      <c r="H33" s="1">
        <v>0.1</v>
      </c>
      <c r="I33" t="s">
        <v>28</v>
      </c>
      <c r="J33" s="1">
        <v>388074.66</v>
      </c>
      <c r="K33" t="s">
        <v>26</v>
      </c>
      <c r="L33">
        <v>192907</v>
      </c>
      <c r="M33" t="str">
        <f>"PGTEFT2575          IV-0024360"</f>
        <v>PGTEFT2575          IV-0024360</v>
      </c>
      <c r="O33">
        <v>1</v>
      </c>
    </row>
    <row r="34" spans="1:17" x14ac:dyDescent="0.25">
      <c r="A34">
        <v>8003879954</v>
      </c>
      <c r="B34">
        <v>42</v>
      </c>
      <c r="C34">
        <v>30082017</v>
      </c>
      <c r="D34">
        <v>341</v>
      </c>
      <c r="E34" t="str">
        <f>"TR IBG"</f>
        <v>TR IBG</v>
      </c>
      <c r="F34">
        <v>9938</v>
      </c>
      <c r="G34" t="str">
        <f>"20334760"</f>
        <v>20334760</v>
      </c>
      <c r="H34" s="1">
        <v>954</v>
      </c>
      <c r="I34" t="s">
        <v>28</v>
      </c>
      <c r="J34" s="1">
        <v>388074.76</v>
      </c>
      <c r="K34" t="s">
        <v>26</v>
      </c>
      <c r="L34">
        <v>192907</v>
      </c>
      <c r="M34" t="str">
        <f>"SE VENA NETWORKS SDN"</f>
        <v>SE VENA NETWORKS SDN</v>
      </c>
      <c r="O34">
        <v>1</v>
      </c>
      <c r="P34" t="str">
        <f>"PGTEFT2573"</f>
        <v>PGTEFT2573</v>
      </c>
      <c r="Q34" t="str">
        <f>"SN-NC-17-0237"</f>
        <v>SN-NC-17-0237</v>
      </c>
    </row>
    <row r="35" spans="1:17" x14ac:dyDescent="0.25">
      <c r="A35">
        <v>8003879954</v>
      </c>
      <c r="B35">
        <v>41</v>
      </c>
      <c r="C35">
        <v>30082017</v>
      </c>
      <c r="D35">
        <v>299</v>
      </c>
      <c r="E35" t="str">
        <f>"GST"</f>
        <v>GST</v>
      </c>
      <c r="F35">
        <v>9938</v>
      </c>
      <c r="G35" t="str">
        <f>"20334760"</f>
        <v>20334760</v>
      </c>
      <c r="H35" s="1">
        <v>0.01</v>
      </c>
      <c r="I35" t="s">
        <v>28</v>
      </c>
      <c r="J35" s="1">
        <v>389028.76</v>
      </c>
      <c r="K35" t="s">
        <v>26</v>
      </c>
      <c r="L35">
        <v>192907</v>
      </c>
      <c r="M35" t="str">
        <f>"PGTEFT2573          SN-NC-17-0237"</f>
        <v>PGTEFT2573          SN-NC-17-0237</v>
      </c>
      <c r="O35">
        <v>1</v>
      </c>
    </row>
    <row r="36" spans="1:17" x14ac:dyDescent="0.25">
      <c r="A36">
        <v>8003879954</v>
      </c>
      <c r="B36">
        <v>40</v>
      </c>
      <c r="C36">
        <v>30082017</v>
      </c>
      <c r="D36">
        <v>489</v>
      </c>
      <c r="E36" t="str">
        <f>"OTHER TRANSFER FEE"</f>
        <v>OTHER TRANSFER FEE</v>
      </c>
      <c r="F36">
        <v>9938</v>
      </c>
      <c r="G36" t="str">
        <f>"20334760"</f>
        <v>20334760</v>
      </c>
      <c r="H36" s="1">
        <v>0.1</v>
      </c>
      <c r="I36" t="s">
        <v>28</v>
      </c>
      <c r="J36" s="1">
        <v>389028.77</v>
      </c>
      <c r="K36" t="s">
        <v>26</v>
      </c>
      <c r="L36">
        <v>192907</v>
      </c>
      <c r="M36" t="str">
        <f>"PGTEFT2573          SN-NC-17-0237"</f>
        <v>PGTEFT2573          SN-NC-17-0237</v>
      </c>
      <c r="O36">
        <v>1</v>
      </c>
    </row>
    <row r="37" spans="1:17" x14ac:dyDescent="0.25">
      <c r="A37">
        <v>8003879954</v>
      </c>
      <c r="B37">
        <v>39</v>
      </c>
      <c r="C37">
        <v>30082017</v>
      </c>
      <c r="D37">
        <v>345</v>
      </c>
      <c r="E37" t="str">
        <f>"TR TO SAVINGS"</f>
        <v>TR TO SAVINGS</v>
      </c>
      <c r="F37">
        <v>9938</v>
      </c>
      <c r="G37" t="str">
        <f>"20334496"</f>
        <v>20334496</v>
      </c>
      <c r="H37" s="1">
        <v>563.25</v>
      </c>
      <c r="I37" t="s">
        <v>28</v>
      </c>
      <c r="J37" s="1">
        <v>389028.87</v>
      </c>
      <c r="K37" t="s">
        <v>26</v>
      </c>
      <c r="L37">
        <v>192906</v>
      </c>
      <c r="M37" t="str">
        <f>"CLAIMS THOY SIEW PING"</f>
        <v>CLAIMS THOY SIEW PING</v>
      </c>
      <c r="O37">
        <v>1</v>
      </c>
      <c r="P37" t="str">
        <f>"PGTEFT2578"</f>
        <v>PGTEFT2578</v>
      </c>
      <c r="Q37" t="str">
        <f>"PTE SARAWAK"</f>
        <v>PTE SARAWAK</v>
      </c>
    </row>
    <row r="38" spans="1:17" x14ac:dyDescent="0.25">
      <c r="A38">
        <v>8003879954</v>
      </c>
      <c r="B38">
        <v>38</v>
      </c>
      <c r="C38">
        <v>30082017</v>
      </c>
      <c r="D38">
        <v>341</v>
      </c>
      <c r="E38" t="str">
        <f>"TR IBG"</f>
        <v>TR IBG</v>
      </c>
      <c r="F38">
        <v>9938</v>
      </c>
      <c r="G38" t="str">
        <f>"20334702"</f>
        <v>20334702</v>
      </c>
      <c r="H38" s="1">
        <v>2085</v>
      </c>
      <c r="I38" t="s">
        <v>28</v>
      </c>
      <c r="J38" s="1">
        <v>389592.12</v>
      </c>
      <c r="K38" t="s">
        <v>26</v>
      </c>
      <c r="L38">
        <v>192906</v>
      </c>
      <c r="M38" t="str">
        <f>"TEDDYVILLE MUSEUM SD"</f>
        <v>TEDDYVILLE MUSEUM SD</v>
      </c>
      <c r="O38">
        <v>1</v>
      </c>
      <c r="P38" t="str">
        <f>"PGTEFT2574"</f>
        <v>PGTEFT2574</v>
      </c>
      <c r="Q38" t="str">
        <f>"TVM-7-12001"</f>
        <v>TVM-7-12001</v>
      </c>
    </row>
    <row r="39" spans="1:17" x14ac:dyDescent="0.25">
      <c r="A39">
        <v>8003879954</v>
      </c>
      <c r="B39">
        <v>37</v>
      </c>
      <c r="C39">
        <v>30082017</v>
      </c>
      <c r="D39">
        <v>299</v>
      </c>
      <c r="E39" t="str">
        <f>"GST"</f>
        <v>GST</v>
      </c>
      <c r="F39">
        <v>9938</v>
      </c>
      <c r="G39" t="str">
        <f>"20334702"</f>
        <v>20334702</v>
      </c>
      <c r="H39" s="1">
        <v>0.01</v>
      </c>
      <c r="I39" t="s">
        <v>28</v>
      </c>
      <c r="J39" s="1">
        <v>391677.12</v>
      </c>
      <c r="K39" t="s">
        <v>26</v>
      </c>
      <c r="L39">
        <v>192906</v>
      </c>
      <c r="M39" t="str">
        <f>"PGTEFT2574          TVM-7-12001"</f>
        <v>PGTEFT2574          TVM-7-12001</v>
      </c>
      <c r="O39">
        <v>1</v>
      </c>
    </row>
    <row r="40" spans="1:17" x14ac:dyDescent="0.25">
      <c r="A40">
        <v>8003879954</v>
      </c>
      <c r="B40">
        <v>36</v>
      </c>
      <c r="C40">
        <v>30082017</v>
      </c>
      <c r="D40">
        <v>489</v>
      </c>
      <c r="E40" t="str">
        <f>"OTHER TRANSFER FEE"</f>
        <v>OTHER TRANSFER FEE</v>
      </c>
      <c r="F40">
        <v>9938</v>
      </c>
      <c r="G40" t="str">
        <f>"20334702"</f>
        <v>20334702</v>
      </c>
      <c r="H40" s="1">
        <v>0.1</v>
      </c>
      <c r="I40" t="s">
        <v>28</v>
      </c>
      <c r="J40" s="1">
        <v>391677.13</v>
      </c>
      <c r="K40" t="s">
        <v>26</v>
      </c>
      <c r="L40">
        <v>192906</v>
      </c>
      <c r="M40" t="str">
        <f>"PGTEFT2574          TVM-7-12001"</f>
        <v>PGTEFT2574          TVM-7-12001</v>
      </c>
      <c r="O40">
        <v>1</v>
      </c>
    </row>
    <row r="41" spans="1:17" x14ac:dyDescent="0.25">
      <c r="A41">
        <v>8003879954</v>
      </c>
      <c r="B41">
        <v>35</v>
      </c>
      <c r="C41">
        <v>30082017</v>
      </c>
      <c r="D41">
        <v>341</v>
      </c>
      <c r="E41" t="str">
        <f>"TR IBG"</f>
        <v>TR IBG</v>
      </c>
      <c r="F41">
        <v>9938</v>
      </c>
      <c r="G41" t="str">
        <f>"20334574"</f>
        <v>20334574</v>
      </c>
      <c r="H41" s="1">
        <v>2438</v>
      </c>
      <c r="I41" t="s">
        <v>28</v>
      </c>
      <c r="J41" s="1">
        <v>391677.23</v>
      </c>
      <c r="K41" t="s">
        <v>26</v>
      </c>
      <c r="L41">
        <v>192906</v>
      </c>
      <c r="M41" t="str">
        <f>"TLM EVENT SDN BHD"</f>
        <v>TLM EVENT SDN BHD</v>
      </c>
      <c r="O41">
        <v>1</v>
      </c>
      <c r="P41" t="str">
        <f>"PGTEFT2576"</f>
        <v>PGTEFT2576</v>
      </c>
      <c r="Q41" t="str">
        <f>"INV17-047"</f>
        <v>INV17-047</v>
      </c>
    </row>
    <row r="42" spans="1:17" x14ac:dyDescent="0.25">
      <c r="A42">
        <v>8003879954</v>
      </c>
      <c r="B42">
        <v>34</v>
      </c>
      <c r="C42">
        <v>30082017</v>
      </c>
      <c r="D42">
        <v>299</v>
      </c>
      <c r="E42" t="str">
        <f>"GST"</f>
        <v>GST</v>
      </c>
      <c r="F42">
        <v>9938</v>
      </c>
      <c r="G42" t="str">
        <f>"20334574"</f>
        <v>20334574</v>
      </c>
      <c r="H42" s="1">
        <v>0.01</v>
      </c>
      <c r="I42" t="s">
        <v>28</v>
      </c>
      <c r="J42" s="1">
        <v>394115.23</v>
      </c>
      <c r="K42" t="s">
        <v>26</v>
      </c>
      <c r="L42">
        <v>192906</v>
      </c>
      <c r="M42" t="str">
        <f>"PGTEFT2576          INV17-047"</f>
        <v>PGTEFT2576          INV17-047</v>
      </c>
      <c r="O42">
        <v>1</v>
      </c>
    </row>
    <row r="43" spans="1:17" x14ac:dyDescent="0.25">
      <c r="A43">
        <v>8003879954</v>
      </c>
      <c r="B43">
        <v>33</v>
      </c>
      <c r="C43">
        <v>30082017</v>
      </c>
      <c r="D43">
        <v>489</v>
      </c>
      <c r="E43" t="str">
        <f>"OTHER TRANSFER FEE"</f>
        <v>OTHER TRANSFER FEE</v>
      </c>
      <c r="F43">
        <v>9938</v>
      </c>
      <c r="G43" t="str">
        <f>"20334574"</f>
        <v>20334574</v>
      </c>
      <c r="H43" s="1">
        <v>0.1</v>
      </c>
      <c r="I43" t="s">
        <v>28</v>
      </c>
      <c r="J43" s="1">
        <v>394115.24</v>
      </c>
      <c r="K43" t="s">
        <v>26</v>
      </c>
      <c r="L43">
        <v>192906</v>
      </c>
      <c r="M43" t="str">
        <f>"PGTEFT2576          INV17-047"</f>
        <v>PGTEFT2576          INV17-047</v>
      </c>
      <c r="O43">
        <v>1</v>
      </c>
    </row>
    <row r="44" spans="1:17" x14ac:dyDescent="0.25">
      <c r="A44">
        <v>8003879954</v>
      </c>
      <c r="B44">
        <v>32</v>
      </c>
      <c r="C44">
        <v>30082017</v>
      </c>
      <c r="D44">
        <v>341</v>
      </c>
      <c r="E44" t="str">
        <f>"TR IBG"</f>
        <v>TR IBG</v>
      </c>
      <c r="F44">
        <v>9938</v>
      </c>
      <c r="G44" t="str">
        <f>"20334833"</f>
        <v>20334833</v>
      </c>
      <c r="H44" s="1">
        <v>293.62</v>
      </c>
      <c r="I44" t="s">
        <v>28</v>
      </c>
      <c r="J44" s="1">
        <v>394115.34</v>
      </c>
      <c r="K44" t="s">
        <v>26</v>
      </c>
      <c r="L44">
        <v>192906</v>
      </c>
      <c r="M44" t="str">
        <f>"ROD CREATIVE SDN BHD"</f>
        <v>ROD CREATIVE SDN BHD</v>
      </c>
      <c r="O44">
        <v>1</v>
      </c>
      <c r="P44" t="str">
        <f>"PGTEFT2572"</f>
        <v>PGTEFT2572</v>
      </c>
      <c r="Q44" t="str">
        <f>"INV151577 151578"</f>
        <v>INV151577 151578</v>
      </c>
    </row>
    <row r="45" spans="1:17" x14ac:dyDescent="0.25">
      <c r="A45">
        <v>8003879954</v>
      </c>
      <c r="B45">
        <v>31</v>
      </c>
      <c r="C45">
        <v>30082017</v>
      </c>
      <c r="D45">
        <v>299</v>
      </c>
      <c r="E45" t="str">
        <f>"GST"</f>
        <v>GST</v>
      </c>
      <c r="F45">
        <v>9938</v>
      </c>
      <c r="G45" t="str">
        <f>"20334833"</f>
        <v>20334833</v>
      </c>
      <c r="H45" s="1">
        <v>0.01</v>
      </c>
      <c r="I45" t="s">
        <v>28</v>
      </c>
      <c r="J45" s="1">
        <v>394408.96000000002</v>
      </c>
      <c r="K45" t="s">
        <v>26</v>
      </c>
      <c r="L45">
        <v>192906</v>
      </c>
      <c r="M45" t="str">
        <f>"PGTEFT2572          INV151577 151578"</f>
        <v>PGTEFT2572          INV151577 151578</v>
      </c>
      <c r="O45">
        <v>1</v>
      </c>
    </row>
    <row r="46" spans="1:17" x14ac:dyDescent="0.25">
      <c r="A46">
        <v>8003879954</v>
      </c>
      <c r="B46">
        <v>30</v>
      </c>
      <c r="C46">
        <v>30082017</v>
      </c>
      <c r="D46">
        <v>489</v>
      </c>
      <c r="E46" t="str">
        <f>"OTHER TRANSFER FEE"</f>
        <v>OTHER TRANSFER FEE</v>
      </c>
      <c r="F46">
        <v>9938</v>
      </c>
      <c r="G46" t="str">
        <f>"20334833"</f>
        <v>20334833</v>
      </c>
      <c r="H46" s="1">
        <v>0.1</v>
      </c>
      <c r="I46" t="s">
        <v>28</v>
      </c>
      <c r="J46" s="1">
        <v>394408.97</v>
      </c>
      <c r="K46" t="s">
        <v>26</v>
      </c>
      <c r="L46">
        <v>192906</v>
      </c>
      <c r="M46" t="str">
        <f>"PGTEFT2572          INV151577 151578"</f>
        <v>PGTEFT2572          INV151577 151578</v>
      </c>
      <c r="O46">
        <v>1</v>
      </c>
    </row>
    <row r="47" spans="1:17" x14ac:dyDescent="0.25">
      <c r="A47">
        <v>8003879954</v>
      </c>
      <c r="B47">
        <v>29</v>
      </c>
      <c r="C47">
        <v>30082017</v>
      </c>
      <c r="D47">
        <v>345</v>
      </c>
      <c r="E47" t="str">
        <f>"TR TO SAVINGS"</f>
        <v>TR TO SAVINGS</v>
      </c>
      <c r="F47">
        <v>9938</v>
      </c>
      <c r="G47" t="str">
        <f>"20334906"</f>
        <v>20334906</v>
      </c>
      <c r="H47" s="1">
        <v>1138.8499999999999</v>
      </c>
      <c r="I47" t="s">
        <v>28</v>
      </c>
      <c r="J47" s="1">
        <v>394409.07</v>
      </c>
      <c r="K47" t="s">
        <v>26</v>
      </c>
      <c r="L47">
        <v>192906</v>
      </c>
      <c r="M47" t="str">
        <f>"BOOKS &amp; KL TRIP NG CHUN HOW"</f>
        <v>BOOKS &amp; KL TRIP NG CHUN HOW</v>
      </c>
      <c r="O47">
        <v>1</v>
      </c>
      <c r="P47" t="str">
        <f>"PGTEFT2570"</f>
        <v>PGTEFT2570</v>
      </c>
      <c r="Q47" t="str">
        <f>"CLAIMS"</f>
        <v>CLAIMS</v>
      </c>
    </row>
    <row r="48" spans="1:17" x14ac:dyDescent="0.25">
      <c r="A48">
        <v>8003879954</v>
      </c>
      <c r="B48">
        <v>28</v>
      </c>
      <c r="C48">
        <v>30082017</v>
      </c>
      <c r="D48">
        <v>345</v>
      </c>
      <c r="E48" t="str">
        <f>"TR TO SAVINGS"</f>
        <v>TR TO SAVINGS</v>
      </c>
      <c r="F48">
        <v>9938</v>
      </c>
      <c r="G48" t="str">
        <f>"20335119"</f>
        <v>20335119</v>
      </c>
      <c r="H48" s="1">
        <v>1594</v>
      </c>
      <c r="I48" t="s">
        <v>28</v>
      </c>
      <c r="J48" s="1">
        <v>395547.92</v>
      </c>
      <c r="K48" t="s">
        <v>26</v>
      </c>
      <c r="L48">
        <v>192413</v>
      </c>
      <c r="M48" t="str">
        <f>"SPRING TOUR TRAVEL P JOANNE KHOO ROU YAN"</f>
        <v>SPRING TOUR TRAVEL P JOANNE KHOO ROU YAN</v>
      </c>
      <c r="O48">
        <v>1</v>
      </c>
      <c r="P48" t="str">
        <f>"PGTEFT2567"</f>
        <v>PGTEFT2567</v>
      </c>
      <c r="Q48" t="str">
        <f>"ADVANCE"</f>
        <v>ADVANCE</v>
      </c>
    </row>
    <row r="49" spans="1:17" x14ac:dyDescent="0.25">
      <c r="A49">
        <v>8003879954</v>
      </c>
      <c r="B49">
        <v>27</v>
      </c>
      <c r="C49">
        <v>30082017</v>
      </c>
      <c r="D49">
        <v>341</v>
      </c>
      <c r="E49" t="str">
        <f>"TR IBG"</f>
        <v>TR IBG</v>
      </c>
      <c r="F49">
        <v>9938</v>
      </c>
      <c r="G49" t="str">
        <f>"20335178"</f>
        <v>20335178</v>
      </c>
      <c r="H49" s="1">
        <v>850</v>
      </c>
      <c r="I49" t="s">
        <v>28</v>
      </c>
      <c r="J49" s="1">
        <v>397141.92</v>
      </c>
      <c r="K49" t="s">
        <v>26</v>
      </c>
      <c r="L49">
        <v>192410</v>
      </c>
      <c r="M49" t="str">
        <f>"JAYKODI RESOURCES"</f>
        <v>JAYKODI RESOURCES</v>
      </c>
      <c r="O49">
        <v>1</v>
      </c>
      <c r="P49" t="str">
        <f>"PGTEFT2566"</f>
        <v>PGTEFT2566</v>
      </c>
      <c r="Q49" t="str">
        <f>"CLEANING SERVICE"</f>
        <v>CLEANING SERVICE</v>
      </c>
    </row>
    <row r="50" spans="1:17" x14ac:dyDescent="0.25">
      <c r="A50">
        <v>8003879954</v>
      </c>
      <c r="B50">
        <v>26</v>
      </c>
      <c r="C50">
        <v>30082017</v>
      </c>
      <c r="D50">
        <v>299</v>
      </c>
      <c r="E50" t="str">
        <f>"GST"</f>
        <v>GST</v>
      </c>
      <c r="F50">
        <v>9938</v>
      </c>
      <c r="G50" t="str">
        <f>"20335178"</f>
        <v>20335178</v>
      </c>
      <c r="H50" s="1">
        <v>0.01</v>
      </c>
      <c r="I50" t="s">
        <v>28</v>
      </c>
      <c r="J50" s="1">
        <v>397991.92</v>
      </c>
      <c r="K50" t="s">
        <v>26</v>
      </c>
      <c r="L50">
        <v>192410</v>
      </c>
      <c r="M50" t="str">
        <f>"PGTEFT2566          CLEANING SERVICE"</f>
        <v>PGTEFT2566          CLEANING SERVICE</v>
      </c>
      <c r="O50">
        <v>1</v>
      </c>
    </row>
    <row r="51" spans="1:17" x14ac:dyDescent="0.25">
      <c r="A51">
        <v>8003879954</v>
      </c>
      <c r="B51">
        <v>25</v>
      </c>
      <c r="C51">
        <v>30082017</v>
      </c>
      <c r="D51">
        <v>489</v>
      </c>
      <c r="E51" t="str">
        <f>"OTHER TRANSFER FEE"</f>
        <v>OTHER TRANSFER FEE</v>
      </c>
      <c r="F51">
        <v>9938</v>
      </c>
      <c r="G51" t="str">
        <f>"20335178"</f>
        <v>20335178</v>
      </c>
      <c r="H51" s="1">
        <v>0.1</v>
      </c>
      <c r="I51" t="s">
        <v>28</v>
      </c>
      <c r="J51" s="1">
        <v>397991.93</v>
      </c>
      <c r="K51" t="s">
        <v>26</v>
      </c>
      <c r="L51">
        <v>192410</v>
      </c>
      <c r="M51" t="str">
        <f>"PGTEFT2566          CLEANING SERVICE"</f>
        <v>PGTEFT2566          CLEANING SERVICE</v>
      </c>
      <c r="O51">
        <v>1</v>
      </c>
    </row>
    <row r="52" spans="1:17" x14ac:dyDescent="0.25">
      <c r="A52">
        <v>8003879954</v>
      </c>
      <c r="B52">
        <v>24</v>
      </c>
      <c r="C52">
        <v>30082017</v>
      </c>
      <c r="D52">
        <v>341</v>
      </c>
      <c r="E52" t="str">
        <f>"TR IBG"</f>
        <v>TR IBG</v>
      </c>
      <c r="F52">
        <v>9938</v>
      </c>
      <c r="G52" t="str">
        <f>"20335327"</f>
        <v>20335327</v>
      </c>
      <c r="H52" s="1">
        <v>224</v>
      </c>
      <c r="I52" t="s">
        <v>28</v>
      </c>
      <c r="J52" s="1">
        <v>397992.03</v>
      </c>
      <c r="K52" t="s">
        <v>26</v>
      </c>
      <c r="L52">
        <v>192411</v>
      </c>
      <c r="M52" t="str">
        <f>"CLARITY PUBLISHING S"</f>
        <v>CLARITY PUBLISHING S</v>
      </c>
      <c r="O52">
        <v>1</v>
      </c>
      <c r="P52" t="str">
        <f>"PGTEFT2563"</f>
        <v>PGTEFT2563</v>
      </c>
      <c r="Q52" t="str">
        <f>"PGT07-17INV"</f>
        <v>PGT07-17INV</v>
      </c>
    </row>
    <row r="53" spans="1:17" x14ac:dyDescent="0.25">
      <c r="A53">
        <v>8003879954</v>
      </c>
      <c r="B53">
        <v>23</v>
      </c>
      <c r="C53">
        <v>30082017</v>
      </c>
      <c r="D53">
        <v>299</v>
      </c>
      <c r="E53" t="str">
        <f>"GST"</f>
        <v>GST</v>
      </c>
      <c r="F53">
        <v>9938</v>
      </c>
      <c r="G53" t="str">
        <f>"20335327"</f>
        <v>20335327</v>
      </c>
      <c r="H53" s="1">
        <v>0.01</v>
      </c>
      <c r="I53" t="s">
        <v>28</v>
      </c>
      <c r="J53" s="1">
        <v>398216.03</v>
      </c>
      <c r="K53" t="s">
        <v>26</v>
      </c>
      <c r="L53">
        <v>192411</v>
      </c>
      <c r="M53" t="str">
        <f>"PGTEFT2563          PGT07-17INV"</f>
        <v>PGTEFT2563          PGT07-17INV</v>
      </c>
      <c r="O53">
        <v>1</v>
      </c>
    </row>
    <row r="54" spans="1:17" x14ac:dyDescent="0.25">
      <c r="A54">
        <v>8003879954</v>
      </c>
      <c r="B54">
        <v>22</v>
      </c>
      <c r="C54">
        <v>30082017</v>
      </c>
      <c r="D54">
        <v>489</v>
      </c>
      <c r="E54" t="str">
        <f>"OTHER TRANSFER FEE"</f>
        <v>OTHER TRANSFER FEE</v>
      </c>
      <c r="F54">
        <v>9938</v>
      </c>
      <c r="G54" t="str">
        <f>"20335327"</f>
        <v>20335327</v>
      </c>
      <c r="H54" s="1">
        <v>0.1</v>
      </c>
      <c r="I54" t="s">
        <v>28</v>
      </c>
      <c r="J54" s="1">
        <v>398216.04</v>
      </c>
      <c r="K54" t="s">
        <v>26</v>
      </c>
      <c r="L54">
        <v>192411</v>
      </c>
      <c r="M54" t="str">
        <f>"PGTEFT2563          PGT07-17INV"</f>
        <v>PGTEFT2563          PGT07-17INV</v>
      </c>
      <c r="O54">
        <v>1</v>
      </c>
    </row>
    <row r="55" spans="1:17" x14ac:dyDescent="0.25">
      <c r="A55">
        <v>8003879954</v>
      </c>
      <c r="B55">
        <v>21</v>
      </c>
      <c r="C55">
        <v>30082017</v>
      </c>
      <c r="D55">
        <v>60</v>
      </c>
      <c r="E55" t="str">
        <f>"TR TO C/A"</f>
        <v>TR TO C/A</v>
      </c>
      <c r="F55">
        <v>9938</v>
      </c>
      <c r="G55" t="str">
        <f>"20334978"</f>
        <v>20334978</v>
      </c>
      <c r="H55" s="1">
        <v>290</v>
      </c>
      <c r="I55" t="s">
        <v>28</v>
      </c>
      <c r="J55" s="1">
        <v>398216.14</v>
      </c>
      <c r="K55" t="s">
        <v>26</v>
      </c>
      <c r="L55">
        <v>192411</v>
      </c>
      <c r="M55" t="str">
        <f>"WREATH FOR THE LATE  LIM HOOI LENG"</f>
        <v>WREATH FOR THE LATE  LIM HOOI LENG</v>
      </c>
      <c r="O55">
        <v>1</v>
      </c>
      <c r="P55" t="str">
        <f>"PGTEFT2569"</f>
        <v>PGTEFT2569</v>
      </c>
      <c r="Q55" t="str">
        <f>"CLAIMS"</f>
        <v>CLAIMS</v>
      </c>
    </row>
    <row r="56" spans="1:17" x14ac:dyDescent="0.25">
      <c r="A56">
        <v>8003879954</v>
      </c>
      <c r="B56">
        <v>20</v>
      </c>
      <c r="C56">
        <v>30082017</v>
      </c>
      <c r="D56">
        <v>341</v>
      </c>
      <c r="E56" t="str">
        <f>"TR IBG"</f>
        <v>TR IBG</v>
      </c>
      <c r="F56">
        <v>9938</v>
      </c>
      <c r="G56" t="str">
        <f>"20335209"</f>
        <v>20335209</v>
      </c>
      <c r="H56" s="1">
        <v>36.4</v>
      </c>
      <c r="I56" t="s">
        <v>28</v>
      </c>
      <c r="J56" s="1">
        <v>398506.14</v>
      </c>
      <c r="K56" t="s">
        <v>26</v>
      </c>
      <c r="L56">
        <v>192411</v>
      </c>
      <c r="M56" t="str">
        <f>"HEKTY PUBLISHING SDN"</f>
        <v>HEKTY PUBLISHING SDN</v>
      </c>
      <c r="O56">
        <v>1</v>
      </c>
      <c r="P56" t="str">
        <f>"PGTEFT2565"</f>
        <v>PGTEFT2565</v>
      </c>
      <c r="Q56" t="str">
        <f>"INV00516"</f>
        <v>INV00516</v>
      </c>
    </row>
    <row r="57" spans="1:17" x14ac:dyDescent="0.25">
      <c r="A57">
        <v>8003879954</v>
      </c>
      <c r="B57">
        <v>19</v>
      </c>
      <c r="C57">
        <v>30082017</v>
      </c>
      <c r="D57">
        <v>299</v>
      </c>
      <c r="E57" t="str">
        <f>"GST"</f>
        <v>GST</v>
      </c>
      <c r="F57">
        <v>9938</v>
      </c>
      <c r="G57" t="str">
        <f>"20335209"</f>
        <v>20335209</v>
      </c>
      <c r="H57" s="1">
        <v>0.01</v>
      </c>
      <c r="I57" t="s">
        <v>28</v>
      </c>
      <c r="J57" s="1">
        <v>398542.54</v>
      </c>
      <c r="K57" t="s">
        <v>26</v>
      </c>
      <c r="L57">
        <v>192411</v>
      </c>
      <c r="M57" t="str">
        <f>"PGTEFT2565          INV00516"</f>
        <v>PGTEFT2565          INV00516</v>
      </c>
      <c r="O57">
        <v>1</v>
      </c>
    </row>
    <row r="58" spans="1:17" x14ac:dyDescent="0.25">
      <c r="A58">
        <v>8003879954</v>
      </c>
      <c r="B58">
        <v>18</v>
      </c>
      <c r="C58">
        <v>30082017</v>
      </c>
      <c r="D58">
        <v>489</v>
      </c>
      <c r="E58" t="str">
        <f>"OTHER TRANSFER FEE"</f>
        <v>OTHER TRANSFER FEE</v>
      </c>
      <c r="F58">
        <v>9938</v>
      </c>
      <c r="G58" t="str">
        <f>"20335209"</f>
        <v>20335209</v>
      </c>
      <c r="H58" s="1">
        <v>0.1</v>
      </c>
      <c r="I58" t="s">
        <v>28</v>
      </c>
      <c r="J58" s="1">
        <v>398542.55</v>
      </c>
      <c r="K58" t="s">
        <v>26</v>
      </c>
      <c r="L58">
        <v>192411</v>
      </c>
      <c r="M58" t="str">
        <f>"PGTEFT2565          INV00516"</f>
        <v>PGTEFT2565          INV00516</v>
      </c>
      <c r="O58">
        <v>1</v>
      </c>
    </row>
    <row r="59" spans="1:17" x14ac:dyDescent="0.25">
      <c r="A59">
        <v>8003879954</v>
      </c>
      <c r="B59">
        <v>17</v>
      </c>
      <c r="C59">
        <v>30082017</v>
      </c>
      <c r="D59">
        <v>341</v>
      </c>
      <c r="E59" t="str">
        <f>"TR IBG"</f>
        <v>TR IBG</v>
      </c>
      <c r="F59">
        <v>9938</v>
      </c>
      <c r="G59" t="str">
        <f>"20335062"</f>
        <v>20335062</v>
      </c>
      <c r="H59" s="1">
        <v>700</v>
      </c>
      <c r="I59" t="s">
        <v>28</v>
      </c>
      <c r="J59" s="1">
        <v>398542.65</v>
      </c>
      <c r="K59" t="s">
        <v>26</v>
      </c>
      <c r="L59">
        <v>192410</v>
      </c>
      <c r="M59" t="str">
        <f>"LONG FONG MUSIC SOUN"</f>
        <v>LONG FONG MUSIC SOUN</v>
      </c>
      <c r="O59">
        <v>1</v>
      </c>
      <c r="P59" t="str">
        <f>"PGTEFT2568"</f>
        <v>PGTEFT2568</v>
      </c>
      <c r="Q59" t="str">
        <f>"SOUND SYSTEM"</f>
        <v>SOUND SYSTEM</v>
      </c>
    </row>
    <row r="60" spans="1:17" x14ac:dyDescent="0.25">
      <c r="A60">
        <v>8003879954</v>
      </c>
      <c r="B60">
        <v>16</v>
      </c>
      <c r="C60">
        <v>30082017</v>
      </c>
      <c r="D60">
        <v>299</v>
      </c>
      <c r="E60" t="str">
        <f>"GST"</f>
        <v>GST</v>
      </c>
      <c r="F60">
        <v>9938</v>
      </c>
      <c r="G60" t="str">
        <f>"20335062"</f>
        <v>20335062</v>
      </c>
      <c r="H60" s="1">
        <v>0.01</v>
      </c>
      <c r="I60" t="s">
        <v>28</v>
      </c>
      <c r="J60" s="1">
        <v>399242.65</v>
      </c>
      <c r="K60" t="s">
        <v>26</v>
      </c>
      <c r="L60">
        <v>192410</v>
      </c>
      <c r="M60" t="str">
        <f>"PGTEFT2568          SOUND SYSTEM"</f>
        <v>PGTEFT2568          SOUND SYSTEM</v>
      </c>
      <c r="O60">
        <v>1</v>
      </c>
    </row>
    <row r="61" spans="1:17" x14ac:dyDescent="0.25">
      <c r="A61">
        <v>8003879954</v>
      </c>
      <c r="B61">
        <v>15</v>
      </c>
      <c r="C61">
        <v>30082017</v>
      </c>
      <c r="D61">
        <v>489</v>
      </c>
      <c r="E61" t="str">
        <f>"OTHER TRANSFER FEE"</f>
        <v>OTHER TRANSFER FEE</v>
      </c>
      <c r="F61">
        <v>9938</v>
      </c>
      <c r="G61" t="str">
        <f>"20335062"</f>
        <v>20335062</v>
      </c>
      <c r="H61" s="1">
        <v>0.1</v>
      </c>
      <c r="I61" t="s">
        <v>28</v>
      </c>
      <c r="J61" s="1">
        <v>399242.66</v>
      </c>
      <c r="K61" t="s">
        <v>26</v>
      </c>
      <c r="L61">
        <v>192410</v>
      </c>
      <c r="M61" t="str">
        <f>"PGTEFT2568          SOUND SYSTEM"</f>
        <v>PGTEFT2568          SOUND SYSTEM</v>
      </c>
      <c r="O61">
        <v>1</v>
      </c>
    </row>
    <row r="62" spans="1:17" x14ac:dyDescent="0.25">
      <c r="A62">
        <v>8003879954</v>
      </c>
      <c r="B62">
        <v>14</v>
      </c>
      <c r="C62">
        <v>30082017</v>
      </c>
      <c r="D62">
        <v>60</v>
      </c>
      <c r="E62" t="str">
        <f>"TR TO C/A"</f>
        <v>TR TO C/A</v>
      </c>
      <c r="F62">
        <v>9938</v>
      </c>
      <c r="G62" t="str">
        <f>"20335394"</f>
        <v>20335394</v>
      </c>
      <c r="H62" s="1">
        <v>390</v>
      </c>
      <c r="I62" t="s">
        <v>28</v>
      </c>
      <c r="J62" s="1">
        <v>399242.76</v>
      </c>
      <c r="K62" t="s">
        <v>26</v>
      </c>
      <c r="L62">
        <v>192410</v>
      </c>
      <c r="M62" t="str">
        <f>"PAYROLL-AUG'17 CORPORATENET ADVISO"</f>
        <v>PAYROLL-AUG'17 CORPORATENET ADVISO</v>
      </c>
      <c r="O62">
        <v>1</v>
      </c>
      <c r="P62" t="str">
        <f>"PGTEFT2561"</f>
        <v>PGTEFT2561</v>
      </c>
      <c r="Q62" t="str">
        <f>"CA-17-0120"</f>
        <v>CA-17-0120</v>
      </c>
    </row>
    <row r="63" spans="1:17" x14ac:dyDescent="0.25">
      <c r="A63">
        <v>8003879954</v>
      </c>
      <c r="B63">
        <v>13</v>
      </c>
      <c r="C63">
        <v>30082017</v>
      </c>
      <c r="D63">
        <v>341</v>
      </c>
      <c r="E63" t="str">
        <f>"TR IBG"</f>
        <v>TR IBG</v>
      </c>
      <c r="F63">
        <v>9938</v>
      </c>
      <c r="G63" t="str">
        <f>"20335368"</f>
        <v>20335368</v>
      </c>
      <c r="H63" s="1">
        <v>8713.2000000000007</v>
      </c>
      <c r="I63" t="s">
        <v>28</v>
      </c>
      <c r="J63" s="1">
        <v>399632.76</v>
      </c>
      <c r="K63" t="s">
        <v>26</v>
      </c>
      <c r="L63">
        <v>192410</v>
      </c>
      <c r="M63" t="str">
        <f>"CHEONG SENG CHAN SDN"</f>
        <v>CHEONG SENG CHAN SDN</v>
      </c>
      <c r="O63">
        <v>1</v>
      </c>
      <c r="P63" t="str">
        <f>"PGTEFT2562"</f>
        <v>PGTEFT2562</v>
      </c>
      <c r="Q63" t="str">
        <f>"INV7974 7975 7977"</f>
        <v>INV7974 7975 7977</v>
      </c>
    </row>
    <row r="64" spans="1:17" x14ac:dyDescent="0.25">
      <c r="A64">
        <v>8003879954</v>
      </c>
      <c r="B64">
        <v>12</v>
      </c>
      <c r="C64">
        <v>30082017</v>
      </c>
      <c r="D64">
        <v>299</v>
      </c>
      <c r="E64" t="str">
        <f>"GST"</f>
        <v>GST</v>
      </c>
      <c r="F64">
        <v>9938</v>
      </c>
      <c r="G64" t="str">
        <f>"20335368"</f>
        <v>20335368</v>
      </c>
      <c r="H64" s="1">
        <v>0.01</v>
      </c>
      <c r="I64" t="s">
        <v>28</v>
      </c>
      <c r="J64" s="1">
        <v>408345.96</v>
      </c>
      <c r="K64" t="s">
        <v>26</v>
      </c>
      <c r="L64">
        <v>192410</v>
      </c>
      <c r="M64" t="str">
        <f>"PGTEFT2562          INV7974 7975 7977"</f>
        <v>PGTEFT2562          INV7974 7975 7977</v>
      </c>
      <c r="O64">
        <v>1</v>
      </c>
    </row>
    <row r="65" spans="1:18" x14ac:dyDescent="0.25">
      <c r="A65">
        <v>8003879954</v>
      </c>
      <c r="B65">
        <v>11</v>
      </c>
      <c r="C65">
        <v>30082017</v>
      </c>
      <c r="D65">
        <v>489</v>
      </c>
      <c r="E65" t="str">
        <f>"OTHER TRANSFER FEE"</f>
        <v>OTHER TRANSFER FEE</v>
      </c>
      <c r="F65">
        <v>9938</v>
      </c>
      <c r="G65" t="str">
        <f>"20335368"</f>
        <v>20335368</v>
      </c>
      <c r="H65" s="1">
        <v>0.1</v>
      </c>
      <c r="I65" t="s">
        <v>28</v>
      </c>
      <c r="J65" s="1">
        <v>408345.97</v>
      </c>
      <c r="K65" t="s">
        <v>26</v>
      </c>
      <c r="L65">
        <v>192410</v>
      </c>
      <c r="M65" t="str">
        <f>"PGTEFT2562          INV7974 7975 7977"</f>
        <v>PGTEFT2562          INV7974 7975 7977</v>
      </c>
      <c r="O65">
        <v>1</v>
      </c>
    </row>
    <row r="66" spans="1:18" x14ac:dyDescent="0.25">
      <c r="A66">
        <v>8003879954</v>
      </c>
      <c r="B66">
        <v>10</v>
      </c>
      <c r="C66">
        <v>30082017</v>
      </c>
      <c r="D66">
        <v>345</v>
      </c>
      <c r="E66" t="str">
        <f>"TR TO SAVINGS"</f>
        <v>TR TO SAVINGS</v>
      </c>
      <c r="F66">
        <v>9938</v>
      </c>
      <c r="G66" t="str">
        <f>"20335292"</f>
        <v>20335292</v>
      </c>
      <c r="H66" s="1">
        <v>523.15</v>
      </c>
      <c r="I66" t="s">
        <v>28</v>
      </c>
      <c r="J66" s="1">
        <v>408346.07</v>
      </c>
      <c r="K66" t="s">
        <v>26</v>
      </c>
      <c r="L66">
        <v>192410</v>
      </c>
      <c r="M66" t="str">
        <f>"FOCUS GROUP BUDGET M DANNY TAN LEE KEONG"</f>
        <v>FOCUS GROUP BUDGET M DANNY TAN LEE KEONG</v>
      </c>
      <c r="O66">
        <v>1</v>
      </c>
      <c r="P66" t="str">
        <f>"PGTEFT2564"</f>
        <v>PGTEFT2564</v>
      </c>
      <c r="Q66" t="str">
        <f>"CLAIMS"</f>
        <v>CLAIMS</v>
      </c>
    </row>
    <row r="67" spans="1:18" x14ac:dyDescent="0.25">
      <c r="A67">
        <v>8003879954</v>
      </c>
      <c r="B67">
        <v>9</v>
      </c>
      <c r="C67">
        <v>30082017</v>
      </c>
      <c r="D67">
        <v>102</v>
      </c>
      <c r="E67" t="str">
        <f>"CDM CASH DEPOSIT"</f>
        <v>CDM CASH DEPOSIT</v>
      </c>
      <c r="F67">
        <v>9815</v>
      </c>
      <c r="G67" t="str">
        <f>"S6858862"</f>
        <v>S6858862</v>
      </c>
      <c r="H67" s="1">
        <v>1200</v>
      </c>
      <c r="I67" t="s">
        <v>26</v>
      </c>
      <c r="J67" s="1">
        <v>408869.22</v>
      </c>
      <c r="K67" t="s">
        <v>26</v>
      </c>
      <c r="L67">
        <v>155942</v>
      </c>
      <c r="M67" t="str">
        <f>""</f>
        <v/>
      </c>
      <c r="O67">
        <v>1</v>
      </c>
    </row>
    <row r="68" spans="1:18" x14ac:dyDescent="0.25">
      <c r="A68">
        <v>8003879954</v>
      </c>
      <c r="B68">
        <v>8</v>
      </c>
      <c r="C68">
        <v>30082017</v>
      </c>
      <c r="D68">
        <v>299</v>
      </c>
      <c r="E68" t="str">
        <f>"GST"</f>
        <v>GST</v>
      </c>
      <c r="F68">
        <v>2001</v>
      </c>
      <c r="G68" t="str">
        <f>"98990384"</f>
        <v>98990384</v>
      </c>
      <c r="H68" s="1">
        <v>2.16</v>
      </c>
      <c r="I68" t="s">
        <v>28</v>
      </c>
      <c r="J68" s="1">
        <v>407669.22</v>
      </c>
      <c r="K68" t="s">
        <v>26</v>
      </c>
      <c r="L68">
        <v>100702</v>
      </c>
      <c r="M68" t="str">
        <f>"98990384"</f>
        <v>98990384</v>
      </c>
      <c r="O68">
        <v>1</v>
      </c>
    </row>
    <row r="69" spans="1:18" x14ac:dyDescent="0.25">
      <c r="A69">
        <v>8003879954</v>
      </c>
      <c r="B69">
        <v>7</v>
      </c>
      <c r="C69">
        <v>30082017</v>
      </c>
      <c r="D69">
        <v>489</v>
      </c>
      <c r="E69" t="str">
        <f>"OTHER TRANSFER FEE"</f>
        <v>OTHER TRANSFER FEE</v>
      </c>
      <c r="F69">
        <v>2001</v>
      </c>
      <c r="G69" t="str">
        <f>"98990384"</f>
        <v>98990384</v>
      </c>
      <c r="H69" s="1">
        <v>36</v>
      </c>
      <c r="I69" t="s">
        <v>28</v>
      </c>
      <c r="J69" s="1">
        <v>407671.38</v>
      </c>
      <c r="K69" t="s">
        <v>26</v>
      </c>
      <c r="L69">
        <v>100702</v>
      </c>
      <c r="M69" t="str">
        <f>"98990384"</f>
        <v>98990384</v>
      </c>
      <c r="O69">
        <v>1</v>
      </c>
    </row>
    <row r="70" spans="1:18" x14ac:dyDescent="0.25">
      <c r="A70">
        <v>8003879954</v>
      </c>
      <c r="B70">
        <v>6</v>
      </c>
      <c r="C70">
        <v>30082017</v>
      </c>
      <c r="D70">
        <v>341</v>
      </c>
      <c r="E70" t="str">
        <f>"TR IBG"</f>
        <v>TR IBG</v>
      </c>
      <c r="F70">
        <v>9938</v>
      </c>
      <c r="G70" t="str">
        <f>"20135655"</f>
        <v>20135655</v>
      </c>
      <c r="H70" s="1">
        <v>362.09</v>
      </c>
      <c r="I70" t="s">
        <v>28</v>
      </c>
      <c r="J70" s="1">
        <v>407707.38</v>
      </c>
      <c r="K70" t="s">
        <v>26</v>
      </c>
      <c r="L70">
        <v>83635</v>
      </c>
      <c r="M70" t="str">
        <f>"AKAUN PUNGUTAN POTON"</f>
        <v>AKAUN PUNGUTAN POTON</v>
      </c>
      <c r="O70">
        <v>1</v>
      </c>
      <c r="P70" t="str">
        <f>"PGTEFT2542"</f>
        <v>PGTEFT2542</v>
      </c>
      <c r="Q70" t="str">
        <f>"PTPTN LOAN"</f>
        <v>PTPTN LOAN</v>
      </c>
    </row>
    <row r="71" spans="1:18" x14ac:dyDescent="0.25">
      <c r="A71">
        <v>8003879954</v>
      </c>
      <c r="B71">
        <v>5</v>
      </c>
      <c r="C71">
        <v>30082017</v>
      </c>
      <c r="D71">
        <v>299</v>
      </c>
      <c r="E71" t="str">
        <f>"GST"</f>
        <v>GST</v>
      </c>
      <c r="F71">
        <v>9938</v>
      </c>
      <c r="G71" t="str">
        <f>"20135655"</f>
        <v>20135655</v>
      </c>
      <c r="H71" s="1">
        <v>0.01</v>
      </c>
      <c r="I71" t="s">
        <v>28</v>
      </c>
      <c r="J71" s="1">
        <v>408069.47</v>
      </c>
      <c r="K71" t="s">
        <v>26</v>
      </c>
      <c r="L71">
        <v>83635</v>
      </c>
      <c r="M71" t="str">
        <f>"PGTEFT2542          PTPTN LOAN"</f>
        <v>PGTEFT2542          PTPTN LOAN</v>
      </c>
      <c r="O71">
        <v>1</v>
      </c>
    </row>
    <row r="72" spans="1:18" x14ac:dyDescent="0.25">
      <c r="A72">
        <v>8003879954</v>
      </c>
      <c r="B72">
        <v>4</v>
      </c>
      <c r="C72">
        <v>30082017</v>
      </c>
      <c r="D72">
        <v>489</v>
      </c>
      <c r="E72" t="str">
        <f>"OTHER TRANSFER FEE"</f>
        <v>OTHER TRANSFER FEE</v>
      </c>
      <c r="F72">
        <v>9938</v>
      </c>
      <c r="G72" t="str">
        <f>"20135655"</f>
        <v>20135655</v>
      </c>
      <c r="H72" s="1">
        <v>0.1</v>
      </c>
      <c r="I72" t="s">
        <v>28</v>
      </c>
      <c r="J72" s="1">
        <v>408069.48</v>
      </c>
      <c r="K72" t="s">
        <v>26</v>
      </c>
      <c r="L72">
        <v>83635</v>
      </c>
      <c r="M72" t="str">
        <f>"PGTEFT2542          PTPTN LOAN"</f>
        <v>PGTEFT2542          PTPTN LOAN</v>
      </c>
      <c r="O72">
        <v>1</v>
      </c>
    </row>
    <row r="73" spans="1:18" x14ac:dyDescent="0.25">
      <c r="A73">
        <v>8003879954</v>
      </c>
      <c r="B73">
        <v>3</v>
      </c>
      <c r="C73">
        <v>30082017</v>
      </c>
      <c r="D73">
        <v>299</v>
      </c>
      <c r="E73" t="s">
        <v>30</v>
      </c>
      <c r="F73">
        <v>2001</v>
      </c>
      <c r="G73" t="str">
        <f>"98990384"</f>
        <v>98990384</v>
      </c>
      <c r="H73" s="1">
        <v>2.16</v>
      </c>
      <c r="I73" t="s">
        <v>28</v>
      </c>
      <c r="J73" s="1">
        <v>408069.58</v>
      </c>
      <c r="K73" t="s">
        <v>26</v>
      </c>
      <c r="L73">
        <v>71144</v>
      </c>
      <c r="M73" t="str">
        <f>"98990384"</f>
        <v>98990384</v>
      </c>
      <c r="O73">
        <v>1</v>
      </c>
    </row>
    <row r="74" spans="1:18" x14ac:dyDescent="0.25">
      <c r="A74">
        <v>8003879954</v>
      </c>
      <c r="B74">
        <v>2</v>
      </c>
      <c r="C74">
        <v>30082017</v>
      </c>
      <c r="D74">
        <v>489</v>
      </c>
      <c r="E74" t="str">
        <f>"TR FUNDS CHARGES"</f>
        <v>TR FUNDS CHARGES</v>
      </c>
      <c r="F74">
        <v>2001</v>
      </c>
      <c r="G74" t="str">
        <f>"98990384"</f>
        <v>98990384</v>
      </c>
      <c r="H74" s="1">
        <v>36</v>
      </c>
      <c r="I74" t="s">
        <v>28</v>
      </c>
      <c r="J74" s="1">
        <v>408071.74</v>
      </c>
      <c r="K74" t="s">
        <v>26</v>
      </c>
      <c r="L74">
        <v>71144</v>
      </c>
      <c r="M74" t="str">
        <f>"98990384"</f>
        <v>98990384</v>
      </c>
      <c r="O74">
        <v>1</v>
      </c>
    </row>
    <row r="75" spans="1:18" x14ac:dyDescent="0.25">
      <c r="A75">
        <v>8003879954</v>
      </c>
      <c r="B75">
        <v>1</v>
      </c>
      <c r="C75">
        <v>30082017</v>
      </c>
      <c r="D75">
        <v>341</v>
      </c>
      <c r="E75" t="str">
        <f>"AUTOPAY DR"</f>
        <v>AUTOPAY DR</v>
      </c>
      <c r="F75">
        <v>2001</v>
      </c>
      <c r="G75" t="str">
        <f>"98000384"</f>
        <v>98000384</v>
      </c>
      <c r="H75" s="1">
        <v>80762.58</v>
      </c>
      <c r="I75" t="s">
        <v>28</v>
      </c>
      <c r="J75" s="1">
        <v>408107.74</v>
      </c>
      <c r="K75" t="s">
        <v>26</v>
      </c>
      <c r="L75">
        <v>71138</v>
      </c>
      <c r="M75" t="str">
        <f>"98000384"</f>
        <v>98000384</v>
      </c>
      <c r="O75">
        <v>1</v>
      </c>
      <c r="Q75" t="str">
        <f>"Bulk Payment"</f>
        <v>Bulk Payment</v>
      </c>
    </row>
    <row r="76" spans="1:18" x14ac:dyDescent="0.25">
      <c r="A76">
        <v>8003879954</v>
      </c>
      <c r="B76">
        <v>1</v>
      </c>
      <c r="C76">
        <v>29082017</v>
      </c>
      <c r="D76">
        <v>102</v>
      </c>
      <c r="E76" t="str">
        <f>"CDM CASH DEPOSIT"</f>
        <v>CDM CASH DEPOSIT</v>
      </c>
      <c r="F76">
        <v>9815</v>
      </c>
      <c r="G76" t="str">
        <f>"S6858663"</f>
        <v>S6858663</v>
      </c>
      <c r="H76" s="1">
        <v>1000</v>
      </c>
      <c r="I76" t="s">
        <v>26</v>
      </c>
      <c r="J76" s="1">
        <v>488870.32</v>
      </c>
      <c r="K76" t="s">
        <v>26</v>
      </c>
      <c r="L76">
        <v>165156</v>
      </c>
      <c r="M76" t="str">
        <f>""</f>
        <v/>
      </c>
      <c r="O76">
        <v>1</v>
      </c>
    </row>
    <row r="77" spans="1:18" x14ac:dyDescent="0.25">
      <c r="A77">
        <v>8003879954</v>
      </c>
      <c r="B77">
        <v>4</v>
      </c>
      <c r="C77">
        <v>28082017</v>
      </c>
      <c r="D77">
        <v>299</v>
      </c>
      <c r="E77" t="s">
        <v>44</v>
      </c>
      <c r="F77">
        <v>72</v>
      </c>
      <c r="G77" t="str">
        <f>"206009541"</f>
        <v>206009541</v>
      </c>
      <c r="H77" s="1">
        <v>1.8</v>
      </c>
      <c r="I77" t="s">
        <v>28</v>
      </c>
      <c r="J77" s="1">
        <v>487870.32</v>
      </c>
      <c r="K77" t="s">
        <v>26</v>
      </c>
      <c r="L77">
        <v>160849</v>
      </c>
      <c r="M77" t="str">
        <f>"20008280817T0123"</f>
        <v>20008280817T0123</v>
      </c>
      <c r="O77">
        <v>1</v>
      </c>
    </row>
    <row r="78" spans="1:18" x14ac:dyDescent="0.25">
      <c r="A78">
        <v>8003879954</v>
      </c>
      <c r="B78">
        <v>3</v>
      </c>
      <c r="C78">
        <v>28082017</v>
      </c>
      <c r="D78">
        <v>415</v>
      </c>
      <c r="E78" t="str">
        <f>"TELEX/FAX"</f>
        <v>TELEX/FAX</v>
      </c>
      <c r="F78">
        <v>72</v>
      </c>
      <c r="G78" t="str">
        <f>"206009541"</f>
        <v>206009541</v>
      </c>
      <c r="H78" s="1">
        <v>30</v>
      </c>
      <c r="I78" t="s">
        <v>28</v>
      </c>
      <c r="J78" s="1">
        <v>487872.12</v>
      </c>
      <c r="K78" t="s">
        <v>26</v>
      </c>
      <c r="L78">
        <v>160849</v>
      </c>
      <c r="M78" t="str">
        <f>"20008280817T0123"</f>
        <v>20008280817T0123</v>
      </c>
      <c r="O78">
        <v>1</v>
      </c>
    </row>
    <row r="79" spans="1:18" x14ac:dyDescent="0.25">
      <c r="A79">
        <v>8003879954</v>
      </c>
      <c r="B79">
        <v>2</v>
      </c>
      <c r="C79">
        <v>28082017</v>
      </c>
      <c r="D79">
        <v>349</v>
      </c>
      <c r="E79" t="str">
        <f>"TR TO REMITT"</f>
        <v>TR TO REMITT</v>
      </c>
      <c r="F79">
        <v>72</v>
      </c>
      <c r="G79" t="str">
        <f>"206009541"</f>
        <v>206009541</v>
      </c>
      <c r="H79" s="1">
        <v>55593</v>
      </c>
      <c r="I79" t="s">
        <v>28</v>
      </c>
      <c r="J79" s="1">
        <v>487902.12</v>
      </c>
      <c r="K79" t="s">
        <v>26</v>
      </c>
      <c r="L79">
        <v>160849</v>
      </c>
      <c r="M79" t="str">
        <f>"20008280817T0123"</f>
        <v>20008280817T0123</v>
      </c>
      <c r="O79">
        <v>1</v>
      </c>
    </row>
    <row r="80" spans="1:18" x14ac:dyDescent="0.25">
      <c r="A80">
        <v>8003879954</v>
      </c>
      <c r="B80">
        <v>1</v>
      </c>
      <c r="C80">
        <v>28082017</v>
      </c>
      <c r="D80">
        <v>663</v>
      </c>
      <c r="E80" t="str">
        <f>"IBG INWARD RETURN"</f>
        <v>IBG INWARD RETURN</v>
      </c>
      <c r="F80">
        <v>2013</v>
      </c>
      <c r="G80" t="str">
        <f>"4751"</f>
        <v>4751</v>
      </c>
      <c r="H80" s="1">
        <v>1000</v>
      </c>
      <c r="I80" t="s">
        <v>26</v>
      </c>
      <c r="J80" s="1">
        <v>543495.12</v>
      </c>
      <c r="K80" t="s">
        <v>26</v>
      </c>
      <c r="L80">
        <v>151316</v>
      </c>
      <c r="M80" t="str">
        <f>"PGTEFT2545"</f>
        <v>PGTEFT2545</v>
      </c>
      <c r="O80">
        <v>1</v>
      </c>
      <c r="Q80" t="str">
        <f>"INVALID ACCOUNT NUMB"</f>
        <v>INVALID ACCOUNT NUMB</v>
      </c>
      <c r="R80" t="str">
        <f>"IBG RETURN : R04"</f>
        <v>IBG RETURN : R04</v>
      </c>
    </row>
    <row r="81" spans="1:17" x14ac:dyDescent="0.25">
      <c r="A81">
        <v>8003879954</v>
      </c>
      <c r="B81">
        <v>68</v>
      </c>
      <c r="C81">
        <v>25082017</v>
      </c>
      <c r="D81">
        <v>341</v>
      </c>
      <c r="E81" t="str">
        <f>"TR IBG"</f>
        <v>TR IBG</v>
      </c>
      <c r="F81">
        <v>9938</v>
      </c>
      <c r="G81" t="str">
        <f>"20130012"</f>
        <v>20130012</v>
      </c>
      <c r="H81" s="1">
        <v>954</v>
      </c>
      <c r="I81" t="s">
        <v>28</v>
      </c>
      <c r="J81" s="1">
        <v>542495.12</v>
      </c>
      <c r="K81" t="s">
        <v>26</v>
      </c>
      <c r="L81">
        <v>183334</v>
      </c>
      <c r="M81" t="str">
        <f>"SE VENA NETWORKS SDN"</f>
        <v>SE VENA NETWORKS SDN</v>
      </c>
      <c r="O81">
        <v>1</v>
      </c>
      <c r="P81" t="str">
        <f>"PGTEFT2560"</f>
        <v>PGTEFT2560</v>
      </c>
      <c r="Q81" t="str">
        <f>"SN-NC-17-0250 0249"</f>
        <v>SN-NC-17-0250 0249</v>
      </c>
    </row>
    <row r="82" spans="1:17" x14ac:dyDescent="0.25">
      <c r="A82">
        <v>8003879954</v>
      </c>
      <c r="B82">
        <v>67</v>
      </c>
      <c r="C82">
        <v>25082017</v>
      </c>
      <c r="D82">
        <v>299</v>
      </c>
      <c r="E82" t="str">
        <f>"GST"</f>
        <v>GST</v>
      </c>
      <c r="F82">
        <v>9938</v>
      </c>
      <c r="G82" t="str">
        <f>"20130012"</f>
        <v>20130012</v>
      </c>
      <c r="H82" s="1">
        <v>0.01</v>
      </c>
      <c r="I82" t="s">
        <v>28</v>
      </c>
      <c r="J82" s="1">
        <v>543449.12</v>
      </c>
      <c r="K82" t="s">
        <v>26</v>
      </c>
      <c r="L82">
        <v>183334</v>
      </c>
      <c r="M82" t="str">
        <f>"PGTEFT2560          SN-NC-17-0250 0249"</f>
        <v>PGTEFT2560          SN-NC-17-0250 0249</v>
      </c>
      <c r="O82">
        <v>1</v>
      </c>
    </row>
    <row r="83" spans="1:17" x14ac:dyDescent="0.25">
      <c r="A83">
        <v>8003879954</v>
      </c>
      <c r="B83">
        <v>66</v>
      </c>
      <c r="C83">
        <v>25082017</v>
      </c>
      <c r="D83">
        <v>489</v>
      </c>
      <c r="E83" t="str">
        <f>"OTHER TRANSFER FEE"</f>
        <v>OTHER TRANSFER FEE</v>
      </c>
      <c r="F83">
        <v>9938</v>
      </c>
      <c r="G83" t="str">
        <f>"20130012"</f>
        <v>20130012</v>
      </c>
      <c r="H83" s="1">
        <v>0.1</v>
      </c>
      <c r="I83" t="s">
        <v>28</v>
      </c>
      <c r="J83" s="1">
        <v>543449.13</v>
      </c>
      <c r="K83" t="s">
        <v>26</v>
      </c>
      <c r="L83">
        <v>183334</v>
      </c>
      <c r="M83" t="str">
        <f>"PGTEFT2560          SN-NC-17-0250 0249"</f>
        <v>PGTEFT2560          SN-NC-17-0250 0249</v>
      </c>
      <c r="O83">
        <v>1</v>
      </c>
    </row>
    <row r="84" spans="1:17" x14ac:dyDescent="0.25">
      <c r="A84">
        <v>8003879954</v>
      </c>
      <c r="B84">
        <v>65</v>
      </c>
      <c r="C84">
        <v>25082017</v>
      </c>
      <c r="D84">
        <v>341</v>
      </c>
      <c r="E84" t="str">
        <f>"TR IBG"</f>
        <v>TR IBG</v>
      </c>
      <c r="F84">
        <v>9938</v>
      </c>
      <c r="G84" t="str">
        <f>"20132233"</f>
        <v>20132233</v>
      </c>
      <c r="H84" s="1">
        <v>3200</v>
      </c>
      <c r="I84" t="s">
        <v>28</v>
      </c>
      <c r="J84" s="1">
        <v>543449.23</v>
      </c>
      <c r="K84" t="s">
        <v>26</v>
      </c>
      <c r="L84">
        <v>183240</v>
      </c>
      <c r="M84" t="str">
        <f>"DISCOVERY OVERLAND H"</f>
        <v>DISCOVERY OVERLAND H</v>
      </c>
      <c r="O84">
        <v>1</v>
      </c>
      <c r="P84" t="str">
        <f>"PGTEFT2555"</f>
        <v>PGTEFT2555</v>
      </c>
      <c r="Q84" t="str">
        <f>"INV734876"</f>
        <v>INV734876</v>
      </c>
    </row>
    <row r="85" spans="1:17" x14ac:dyDescent="0.25">
      <c r="A85">
        <v>8003879954</v>
      </c>
      <c r="B85">
        <v>64</v>
      </c>
      <c r="C85">
        <v>25082017</v>
      </c>
      <c r="D85">
        <v>299</v>
      </c>
      <c r="E85" t="str">
        <f>"GST"</f>
        <v>GST</v>
      </c>
      <c r="F85">
        <v>9938</v>
      </c>
      <c r="G85" t="str">
        <f>"20132233"</f>
        <v>20132233</v>
      </c>
      <c r="H85" s="1">
        <v>0.01</v>
      </c>
      <c r="I85" t="s">
        <v>28</v>
      </c>
      <c r="J85" s="1">
        <v>546649.23</v>
      </c>
      <c r="K85" t="s">
        <v>26</v>
      </c>
      <c r="L85">
        <v>183240</v>
      </c>
      <c r="M85" t="str">
        <f>"PGTEFT2555          INV734876"</f>
        <v>PGTEFT2555          INV734876</v>
      </c>
      <c r="O85">
        <v>1</v>
      </c>
    </row>
    <row r="86" spans="1:17" x14ac:dyDescent="0.25">
      <c r="A86">
        <v>8003879954</v>
      </c>
      <c r="B86">
        <v>63</v>
      </c>
      <c r="C86">
        <v>25082017</v>
      </c>
      <c r="D86">
        <v>489</v>
      </c>
      <c r="E86" t="str">
        <f>"OTHER TRANSFER FEE"</f>
        <v>OTHER TRANSFER FEE</v>
      </c>
      <c r="F86">
        <v>9938</v>
      </c>
      <c r="G86" t="str">
        <f>"20132233"</f>
        <v>20132233</v>
      </c>
      <c r="H86" s="1">
        <v>0.1</v>
      </c>
      <c r="I86" t="s">
        <v>28</v>
      </c>
      <c r="J86" s="1">
        <v>546649.24</v>
      </c>
      <c r="K86" t="s">
        <v>26</v>
      </c>
      <c r="L86">
        <v>183240</v>
      </c>
      <c r="M86" t="str">
        <f>"PGTEFT2555          INV734876"</f>
        <v>PGTEFT2555          INV734876</v>
      </c>
      <c r="O86">
        <v>1</v>
      </c>
    </row>
    <row r="87" spans="1:17" x14ac:dyDescent="0.25">
      <c r="A87">
        <v>8003879954</v>
      </c>
      <c r="B87">
        <v>62</v>
      </c>
      <c r="C87">
        <v>25082017</v>
      </c>
      <c r="D87">
        <v>341</v>
      </c>
      <c r="E87" t="str">
        <f>"TR IBG"</f>
        <v>TR IBG</v>
      </c>
      <c r="F87">
        <v>9938</v>
      </c>
      <c r="G87" t="str">
        <f>"20132828"</f>
        <v>20132828</v>
      </c>
      <c r="H87" s="1">
        <v>2276.5300000000002</v>
      </c>
      <c r="I87" t="s">
        <v>28</v>
      </c>
      <c r="J87" s="1">
        <v>546649.34</v>
      </c>
      <c r="K87" t="s">
        <v>26</v>
      </c>
      <c r="L87">
        <v>183238</v>
      </c>
      <c r="M87" t="str">
        <f>"FUJI XEROX ASIA PACI"</f>
        <v>FUJI XEROX ASIA PACI</v>
      </c>
      <c r="O87">
        <v>1</v>
      </c>
      <c r="P87" t="str">
        <f>"PGTEFT2554"</f>
        <v>PGTEFT2554</v>
      </c>
      <c r="Q87" t="str">
        <f>"INV102545945"</f>
        <v>INV102545945</v>
      </c>
    </row>
    <row r="88" spans="1:17" x14ac:dyDescent="0.25">
      <c r="A88">
        <v>8003879954</v>
      </c>
      <c r="B88">
        <v>61</v>
      </c>
      <c r="C88">
        <v>25082017</v>
      </c>
      <c r="D88">
        <v>299</v>
      </c>
      <c r="E88" t="str">
        <f>"GST"</f>
        <v>GST</v>
      </c>
      <c r="F88">
        <v>9938</v>
      </c>
      <c r="G88" t="str">
        <f>"20132828"</f>
        <v>20132828</v>
      </c>
      <c r="H88" s="1">
        <v>0.01</v>
      </c>
      <c r="I88" t="s">
        <v>28</v>
      </c>
      <c r="J88" s="1">
        <v>548925.87</v>
      </c>
      <c r="K88" t="s">
        <v>26</v>
      </c>
      <c r="L88">
        <v>183238</v>
      </c>
      <c r="M88" t="str">
        <f>"PGTEFT2554          INV102545945"</f>
        <v>PGTEFT2554          INV102545945</v>
      </c>
      <c r="O88">
        <v>1</v>
      </c>
    </row>
    <row r="89" spans="1:17" x14ac:dyDescent="0.25">
      <c r="A89">
        <v>8003879954</v>
      </c>
      <c r="B89">
        <v>60</v>
      </c>
      <c r="C89">
        <v>25082017</v>
      </c>
      <c r="D89">
        <v>489</v>
      </c>
      <c r="E89" t="str">
        <f>"OTHER TRANSFER FEE"</f>
        <v>OTHER TRANSFER FEE</v>
      </c>
      <c r="F89">
        <v>9938</v>
      </c>
      <c r="G89" t="str">
        <f>"20132828"</f>
        <v>20132828</v>
      </c>
      <c r="H89" s="1">
        <v>0.1</v>
      </c>
      <c r="I89" t="s">
        <v>28</v>
      </c>
      <c r="J89" s="1">
        <v>548925.88</v>
      </c>
      <c r="K89" t="s">
        <v>26</v>
      </c>
      <c r="L89">
        <v>183238</v>
      </c>
      <c r="M89" t="str">
        <f>"PGTEFT2554          INV102545945"</f>
        <v>PGTEFT2554          INV102545945</v>
      </c>
      <c r="O89">
        <v>1</v>
      </c>
    </row>
    <row r="90" spans="1:17" x14ac:dyDescent="0.25">
      <c r="A90">
        <v>8003879954</v>
      </c>
      <c r="B90">
        <v>59</v>
      </c>
      <c r="C90">
        <v>25082017</v>
      </c>
      <c r="D90">
        <v>341</v>
      </c>
      <c r="E90" t="str">
        <f>"TR IBG"</f>
        <v>TR IBG</v>
      </c>
      <c r="F90">
        <v>9938</v>
      </c>
      <c r="G90" t="str">
        <f>"20133654"</f>
        <v>20133654</v>
      </c>
      <c r="H90" s="1">
        <v>800</v>
      </c>
      <c r="I90" t="s">
        <v>28</v>
      </c>
      <c r="J90" s="1">
        <v>548925.98</v>
      </c>
      <c r="K90" t="s">
        <v>26</v>
      </c>
      <c r="L90">
        <v>183239</v>
      </c>
      <c r="M90" t="str">
        <f>"KHOO BOO LIM"</f>
        <v>KHOO BOO LIM</v>
      </c>
      <c r="O90">
        <v>1</v>
      </c>
      <c r="P90" t="str">
        <f>"PGTEFT2552"</f>
        <v>PGTEFT2552</v>
      </c>
      <c r="Q90" t="str">
        <f>"BOD MEETING ALLOWANC"</f>
        <v>BOD MEETING ALLOWANC</v>
      </c>
    </row>
    <row r="91" spans="1:17" x14ac:dyDescent="0.25">
      <c r="A91">
        <v>8003879954</v>
      </c>
      <c r="B91">
        <v>58</v>
      </c>
      <c r="C91">
        <v>25082017</v>
      </c>
      <c r="D91">
        <v>299</v>
      </c>
      <c r="E91" t="str">
        <f>"GST"</f>
        <v>GST</v>
      </c>
      <c r="F91">
        <v>9938</v>
      </c>
      <c r="G91" t="str">
        <f>"20133654"</f>
        <v>20133654</v>
      </c>
      <c r="H91" s="1">
        <v>0.01</v>
      </c>
      <c r="I91" t="s">
        <v>28</v>
      </c>
      <c r="J91" s="1">
        <v>549725.98</v>
      </c>
      <c r="K91" t="s">
        <v>26</v>
      </c>
      <c r="L91">
        <v>183239</v>
      </c>
      <c r="M91" t="str">
        <f>"PGTEFT2552          BOD MEETING ALLOWANC"</f>
        <v>PGTEFT2552          BOD MEETING ALLOWANC</v>
      </c>
      <c r="O91">
        <v>1</v>
      </c>
    </row>
    <row r="92" spans="1:17" x14ac:dyDescent="0.25">
      <c r="A92">
        <v>8003879954</v>
      </c>
      <c r="B92">
        <v>57</v>
      </c>
      <c r="C92">
        <v>25082017</v>
      </c>
      <c r="D92">
        <v>489</v>
      </c>
      <c r="E92" t="str">
        <f>"OTHER TRANSFER FEE"</f>
        <v>OTHER TRANSFER FEE</v>
      </c>
      <c r="F92">
        <v>9938</v>
      </c>
      <c r="G92" t="str">
        <f>"20133654"</f>
        <v>20133654</v>
      </c>
      <c r="H92" s="1">
        <v>0.1</v>
      </c>
      <c r="I92" t="s">
        <v>28</v>
      </c>
      <c r="J92" s="1">
        <v>549725.99</v>
      </c>
      <c r="K92" t="s">
        <v>26</v>
      </c>
      <c r="L92">
        <v>183239</v>
      </c>
      <c r="M92" t="str">
        <f>"PGTEFT2552          BOD MEETING ALLOWANC"</f>
        <v>PGTEFT2552          BOD MEETING ALLOWANC</v>
      </c>
      <c r="O92">
        <v>1</v>
      </c>
    </row>
    <row r="93" spans="1:17" x14ac:dyDescent="0.25">
      <c r="A93">
        <v>8003879954</v>
      </c>
      <c r="B93">
        <v>56</v>
      </c>
      <c r="C93">
        <v>25082017</v>
      </c>
      <c r="D93">
        <v>60</v>
      </c>
      <c r="E93" t="str">
        <f>"TR TO C/A"</f>
        <v>TR TO C/A</v>
      </c>
      <c r="F93">
        <v>9938</v>
      </c>
      <c r="G93" t="str">
        <f>"20130122"</f>
        <v>20130122</v>
      </c>
      <c r="H93" s="1">
        <v>71.48</v>
      </c>
      <c r="I93" t="s">
        <v>28</v>
      </c>
      <c r="J93" s="1">
        <v>549726.09</v>
      </c>
      <c r="K93" t="s">
        <v>26</v>
      </c>
      <c r="L93">
        <v>183239</v>
      </c>
      <c r="M93" t="str">
        <f>"YANGON &amp; MEETING MARY ANN HARRIS"</f>
        <v>YANGON &amp; MEETING MARY ANN HARRIS</v>
      </c>
      <c r="O93">
        <v>1</v>
      </c>
      <c r="P93" t="str">
        <f>"PGTEFT2559"</f>
        <v>PGTEFT2559</v>
      </c>
      <c r="Q93" t="str">
        <f>"PCET CLAIMS"</f>
        <v>PCET CLAIMS</v>
      </c>
    </row>
    <row r="94" spans="1:17" x14ac:dyDescent="0.25">
      <c r="A94">
        <v>8003879954</v>
      </c>
      <c r="B94">
        <v>55</v>
      </c>
      <c r="C94">
        <v>25082017</v>
      </c>
      <c r="D94">
        <v>341</v>
      </c>
      <c r="E94" t="str">
        <f>"TR IBG"</f>
        <v>TR IBG</v>
      </c>
      <c r="F94">
        <v>9938</v>
      </c>
      <c r="G94" t="str">
        <f>"20131417"</f>
        <v>20131417</v>
      </c>
      <c r="H94" s="1">
        <v>759.67</v>
      </c>
      <c r="I94" t="s">
        <v>28</v>
      </c>
      <c r="J94" s="1">
        <v>549797.56999999995</v>
      </c>
      <c r="K94" t="s">
        <v>26</v>
      </c>
      <c r="L94">
        <v>183239</v>
      </c>
      <c r="M94" t="str">
        <f>"TLM EVENT SDN BHD"</f>
        <v>TLM EVENT SDN BHD</v>
      </c>
      <c r="O94">
        <v>1</v>
      </c>
      <c r="P94" t="str">
        <f>"PGTEFT2557"</f>
        <v>PGTEFT2557</v>
      </c>
      <c r="Q94" t="str">
        <f>"INV17-006"</f>
        <v>INV17-006</v>
      </c>
    </row>
    <row r="95" spans="1:17" x14ac:dyDescent="0.25">
      <c r="A95">
        <v>8003879954</v>
      </c>
      <c r="B95">
        <v>54</v>
      </c>
      <c r="C95">
        <v>25082017</v>
      </c>
      <c r="D95">
        <v>299</v>
      </c>
      <c r="E95" t="str">
        <f>"GST"</f>
        <v>GST</v>
      </c>
      <c r="F95">
        <v>9938</v>
      </c>
      <c r="G95" t="str">
        <f>"20131417"</f>
        <v>20131417</v>
      </c>
      <c r="H95" s="1">
        <v>0.01</v>
      </c>
      <c r="I95" t="s">
        <v>28</v>
      </c>
      <c r="J95" s="1">
        <v>550557.24</v>
      </c>
      <c r="K95" t="s">
        <v>26</v>
      </c>
      <c r="L95">
        <v>183239</v>
      </c>
      <c r="M95" t="str">
        <f>"PGTEFT2557          INV17-006"</f>
        <v>PGTEFT2557          INV17-006</v>
      </c>
      <c r="O95">
        <v>1</v>
      </c>
    </row>
    <row r="96" spans="1:17" x14ac:dyDescent="0.25">
      <c r="A96">
        <v>8003879954</v>
      </c>
      <c r="B96">
        <v>53</v>
      </c>
      <c r="C96">
        <v>25082017</v>
      </c>
      <c r="D96">
        <v>489</v>
      </c>
      <c r="E96" t="str">
        <f>"OTHER TRANSFER FEE"</f>
        <v>OTHER TRANSFER FEE</v>
      </c>
      <c r="F96">
        <v>9938</v>
      </c>
      <c r="G96" t="str">
        <f>"20131417"</f>
        <v>20131417</v>
      </c>
      <c r="H96" s="1">
        <v>0.1</v>
      </c>
      <c r="I96" t="s">
        <v>28</v>
      </c>
      <c r="J96" s="1">
        <v>550557.25</v>
      </c>
      <c r="K96" t="s">
        <v>26</v>
      </c>
      <c r="L96">
        <v>183239</v>
      </c>
      <c r="M96" t="str">
        <f>"PGTEFT2557          INV17-006"</f>
        <v>PGTEFT2557          INV17-006</v>
      </c>
      <c r="O96">
        <v>1</v>
      </c>
    </row>
    <row r="97" spans="1:17" x14ac:dyDescent="0.25">
      <c r="A97">
        <v>8003879954</v>
      </c>
      <c r="B97">
        <v>52</v>
      </c>
      <c r="C97">
        <v>25082017</v>
      </c>
      <c r="D97">
        <v>60</v>
      </c>
      <c r="E97" t="str">
        <f>"TR TO C/A"</f>
        <v>TR TO C/A</v>
      </c>
      <c r="F97">
        <v>9938</v>
      </c>
      <c r="G97" t="str">
        <f>"20134031"</f>
        <v>20134031</v>
      </c>
      <c r="H97" s="1">
        <v>800</v>
      </c>
      <c r="I97" t="s">
        <v>28</v>
      </c>
      <c r="J97" s="1">
        <v>550557.35</v>
      </c>
      <c r="K97" t="s">
        <v>26</v>
      </c>
      <c r="L97">
        <v>183238</v>
      </c>
      <c r="M97" t="str">
        <f>"MARY ANN HARRIS"</f>
        <v>MARY ANN HARRIS</v>
      </c>
      <c r="O97">
        <v>1</v>
      </c>
      <c r="P97" t="str">
        <f>"BOD MEETING ALLOWANC"</f>
        <v>BOD MEETING ALLOWANC</v>
      </c>
      <c r="Q97" t="str">
        <f>"2016"</f>
        <v>2016</v>
      </c>
    </row>
    <row r="98" spans="1:17" x14ac:dyDescent="0.25">
      <c r="A98">
        <v>8003879954</v>
      </c>
      <c r="B98">
        <v>51</v>
      </c>
      <c r="C98">
        <v>25082017</v>
      </c>
      <c r="D98">
        <v>341</v>
      </c>
      <c r="E98" t="str">
        <f>"TR IBG"</f>
        <v>TR IBG</v>
      </c>
      <c r="F98">
        <v>9938</v>
      </c>
      <c r="G98" t="str">
        <f>"20130422"</f>
        <v>20130422</v>
      </c>
      <c r="H98" s="1">
        <v>1817.31</v>
      </c>
      <c r="I98" t="s">
        <v>28</v>
      </c>
      <c r="J98" s="1">
        <v>551357.35</v>
      </c>
      <c r="K98" t="s">
        <v>26</v>
      </c>
      <c r="L98">
        <v>183238</v>
      </c>
      <c r="M98" t="str">
        <f>"INTEGERASI PERKEMBAN"</f>
        <v>INTEGERASI PERKEMBAN</v>
      </c>
      <c r="O98">
        <v>1</v>
      </c>
      <c r="P98" t="str">
        <f>"PGTEFT2556"</f>
        <v>PGTEFT2556</v>
      </c>
      <c r="Q98" t="str">
        <f>"CLAIMS"</f>
        <v>CLAIMS</v>
      </c>
    </row>
    <row r="99" spans="1:17" x14ac:dyDescent="0.25">
      <c r="A99">
        <v>8003879954</v>
      </c>
      <c r="B99">
        <v>50</v>
      </c>
      <c r="C99">
        <v>25082017</v>
      </c>
      <c r="D99">
        <v>299</v>
      </c>
      <c r="E99" t="str">
        <f>"GST"</f>
        <v>GST</v>
      </c>
      <c r="F99">
        <v>9938</v>
      </c>
      <c r="G99" t="str">
        <f>"20130422"</f>
        <v>20130422</v>
      </c>
      <c r="H99" s="1">
        <v>0.01</v>
      </c>
      <c r="I99" t="s">
        <v>28</v>
      </c>
      <c r="J99" s="1">
        <v>553174.66</v>
      </c>
      <c r="K99" t="s">
        <v>26</v>
      </c>
      <c r="L99">
        <v>183238</v>
      </c>
      <c r="M99" t="str">
        <f>"PGTEFT2556          CLAIMS"</f>
        <v>PGTEFT2556          CLAIMS</v>
      </c>
      <c r="O99">
        <v>1</v>
      </c>
    </row>
    <row r="100" spans="1:17" x14ac:dyDescent="0.25">
      <c r="A100">
        <v>8003879954</v>
      </c>
      <c r="B100">
        <v>49</v>
      </c>
      <c r="C100">
        <v>25082017</v>
      </c>
      <c r="D100">
        <v>489</v>
      </c>
      <c r="E100" t="str">
        <f>"OTHER TRANSFER FEE"</f>
        <v>OTHER TRANSFER FEE</v>
      </c>
      <c r="F100">
        <v>9938</v>
      </c>
      <c r="G100" t="str">
        <f>"20130422"</f>
        <v>20130422</v>
      </c>
      <c r="H100" s="1">
        <v>0.1</v>
      </c>
      <c r="I100" t="s">
        <v>28</v>
      </c>
      <c r="J100" s="1">
        <v>553174.67000000004</v>
      </c>
      <c r="K100" t="s">
        <v>26</v>
      </c>
      <c r="L100">
        <v>183238</v>
      </c>
      <c r="M100" t="str">
        <f>"PGTEFT2556          CLAIMS"</f>
        <v>PGTEFT2556          CLAIMS</v>
      </c>
      <c r="O100">
        <v>1</v>
      </c>
    </row>
    <row r="101" spans="1:17" x14ac:dyDescent="0.25">
      <c r="A101">
        <v>8003879954</v>
      </c>
      <c r="B101">
        <v>48</v>
      </c>
      <c r="C101">
        <v>25082017</v>
      </c>
      <c r="D101">
        <v>341</v>
      </c>
      <c r="E101" t="str">
        <f>"TR IBG"</f>
        <v>TR IBG</v>
      </c>
      <c r="F101">
        <v>9938</v>
      </c>
      <c r="G101" t="str">
        <f>"20133962"</f>
        <v>20133962</v>
      </c>
      <c r="H101" s="1">
        <v>800</v>
      </c>
      <c r="I101" t="s">
        <v>28</v>
      </c>
      <c r="J101" s="1">
        <v>553174.77</v>
      </c>
      <c r="K101" t="s">
        <v>26</v>
      </c>
      <c r="L101">
        <v>183238</v>
      </c>
      <c r="M101" t="str">
        <f>"LOKE SIEW FOOK"</f>
        <v>LOKE SIEW FOOK</v>
      </c>
      <c r="O101">
        <v>1</v>
      </c>
      <c r="P101" t="str">
        <f>"PGTEFT2551"</f>
        <v>PGTEFT2551</v>
      </c>
      <c r="Q101" t="str">
        <f>"BOD MEETING ALLOWANC"</f>
        <v>BOD MEETING ALLOWANC</v>
      </c>
    </row>
    <row r="102" spans="1:17" x14ac:dyDescent="0.25">
      <c r="A102">
        <v>8003879954</v>
      </c>
      <c r="B102">
        <v>47</v>
      </c>
      <c r="C102">
        <v>25082017</v>
      </c>
      <c r="D102">
        <v>299</v>
      </c>
      <c r="E102" t="str">
        <f>"GST"</f>
        <v>GST</v>
      </c>
      <c r="F102">
        <v>9938</v>
      </c>
      <c r="G102" t="str">
        <f>"20133962"</f>
        <v>20133962</v>
      </c>
      <c r="H102" s="1">
        <v>0.01</v>
      </c>
      <c r="I102" t="s">
        <v>28</v>
      </c>
      <c r="J102" s="1">
        <v>553974.77</v>
      </c>
      <c r="K102" t="s">
        <v>26</v>
      </c>
      <c r="L102">
        <v>183238</v>
      </c>
      <c r="M102" t="str">
        <f>"PGTEFT2551          BOD MEETING ALLOWANC"</f>
        <v>PGTEFT2551          BOD MEETING ALLOWANC</v>
      </c>
      <c r="O102">
        <v>1</v>
      </c>
    </row>
    <row r="103" spans="1:17" x14ac:dyDescent="0.25">
      <c r="A103">
        <v>8003879954</v>
      </c>
      <c r="B103">
        <v>46</v>
      </c>
      <c r="C103">
        <v>25082017</v>
      </c>
      <c r="D103">
        <v>489</v>
      </c>
      <c r="E103" t="str">
        <f>"OTHER TRANSFER FEE"</f>
        <v>OTHER TRANSFER FEE</v>
      </c>
      <c r="F103">
        <v>9938</v>
      </c>
      <c r="G103" t="str">
        <f>"20133962"</f>
        <v>20133962</v>
      </c>
      <c r="H103" s="1">
        <v>0.1</v>
      </c>
      <c r="I103" t="s">
        <v>28</v>
      </c>
      <c r="J103" s="1">
        <v>553974.78</v>
      </c>
      <c r="K103" t="s">
        <v>26</v>
      </c>
      <c r="L103">
        <v>183238</v>
      </c>
      <c r="M103" t="str">
        <f>"PGTEFT2551          BOD MEETING ALLOWANC"</f>
        <v>PGTEFT2551          BOD MEETING ALLOWANC</v>
      </c>
      <c r="O103">
        <v>1</v>
      </c>
    </row>
    <row r="104" spans="1:17" x14ac:dyDescent="0.25">
      <c r="A104">
        <v>8003879954</v>
      </c>
      <c r="B104">
        <v>45</v>
      </c>
      <c r="C104">
        <v>25082017</v>
      </c>
      <c r="D104">
        <v>341</v>
      </c>
      <c r="E104" t="str">
        <f>"TR IBG"</f>
        <v>TR IBG</v>
      </c>
      <c r="F104">
        <v>9938</v>
      </c>
      <c r="G104" t="str">
        <f>"20132041"</f>
        <v>20132041</v>
      </c>
      <c r="H104" s="1">
        <v>90</v>
      </c>
      <c r="I104" t="s">
        <v>28</v>
      </c>
      <c r="J104" s="1">
        <v>553974.88</v>
      </c>
      <c r="K104" t="s">
        <v>26</v>
      </c>
      <c r="L104">
        <v>183238</v>
      </c>
      <c r="M104" t="str">
        <f>"KOLEKSI WASAYANG"</f>
        <v>KOLEKSI WASAYANG</v>
      </c>
      <c r="O104">
        <v>1</v>
      </c>
      <c r="P104" t="str">
        <f>"PGTEFT2556"</f>
        <v>PGTEFT2556</v>
      </c>
      <c r="Q104" t="str">
        <f>"INV20170812"</f>
        <v>INV20170812</v>
      </c>
    </row>
    <row r="105" spans="1:17" x14ac:dyDescent="0.25">
      <c r="A105">
        <v>8003879954</v>
      </c>
      <c r="B105">
        <v>44</v>
      </c>
      <c r="C105">
        <v>25082017</v>
      </c>
      <c r="D105">
        <v>299</v>
      </c>
      <c r="E105" t="str">
        <f>"GST"</f>
        <v>GST</v>
      </c>
      <c r="F105">
        <v>9938</v>
      </c>
      <c r="G105" t="str">
        <f>"20132041"</f>
        <v>20132041</v>
      </c>
      <c r="H105" s="1">
        <v>0.01</v>
      </c>
      <c r="I105" t="s">
        <v>28</v>
      </c>
      <c r="J105" s="1">
        <v>554064.88</v>
      </c>
      <c r="K105" t="s">
        <v>26</v>
      </c>
      <c r="L105">
        <v>183238</v>
      </c>
      <c r="M105" t="str">
        <f>"PGTEFT2556          INV20170812"</f>
        <v>PGTEFT2556          INV20170812</v>
      </c>
      <c r="O105">
        <v>1</v>
      </c>
    </row>
    <row r="106" spans="1:17" x14ac:dyDescent="0.25">
      <c r="A106">
        <v>8003879954</v>
      </c>
      <c r="B106">
        <v>43</v>
      </c>
      <c r="C106">
        <v>25082017</v>
      </c>
      <c r="D106">
        <v>489</v>
      </c>
      <c r="E106" t="str">
        <f>"OTHER TRANSFER FEE"</f>
        <v>OTHER TRANSFER FEE</v>
      </c>
      <c r="F106">
        <v>9938</v>
      </c>
      <c r="G106" t="str">
        <f>"20132041"</f>
        <v>20132041</v>
      </c>
      <c r="H106" s="1">
        <v>0.1</v>
      </c>
      <c r="I106" t="s">
        <v>28</v>
      </c>
      <c r="J106" s="1">
        <v>554064.89</v>
      </c>
      <c r="K106" t="s">
        <v>26</v>
      </c>
      <c r="L106">
        <v>183238</v>
      </c>
      <c r="M106" t="str">
        <f>"PGTEFT2556          INV20170812"</f>
        <v>PGTEFT2556          INV20170812</v>
      </c>
      <c r="O106">
        <v>1</v>
      </c>
    </row>
    <row r="107" spans="1:17" x14ac:dyDescent="0.25">
      <c r="A107">
        <v>8003879954</v>
      </c>
      <c r="B107">
        <v>42</v>
      </c>
      <c r="C107">
        <v>25082017</v>
      </c>
      <c r="D107">
        <v>60</v>
      </c>
      <c r="E107" t="str">
        <f>"TR TO C/A"</f>
        <v>TR TO C/A</v>
      </c>
      <c r="F107">
        <v>9938</v>
      </c>
      <c r="G107" t="str">
        <f>"20134185"</f>
        <v>20134185</v>
      </c>
      <c r="H107" s="1">
        <v>800</v>
      </c>
      <c r="I107" t="s">
        <v>28</v>
      </c>
      <c r="J107" s="1">
        <v>554064.99</v>
      </c>
      <c r="K107" t="s">
        <v>26</v>
      </c>
      <c r="L107">
        <v>183238</v>
      </c>
      <c r="M107" t="str">
        <f>"2016 R ARUNASALAM A/L V"</f>
        <v>2016 R ARUNASALAM A/L V</v>
      </c>
      <c r="O107">
        <v>1</v>
      </c>
      <c r="P107" t="str">
        <f>"PGTEFT2548"</f>
        <v>PGTEFT2548</v>
      </c>
      <c r="Q107" t="str">
        <f>"BOD MEETING ALLOWANC"</f>
        <v>BOD MEETING ALLOWANC</v>
      </c>
    </row>
    <row r="108" spans="1:17" x14ac:dyDescent="0.25">
      <c r="A108">
        <v>8003879954</v>
      </c>
      <c r="B108">
        <v>41</v>
      </c>
      <c r="C108">
        <v>25082017</v>
      </c>
      <c r="D108">
        <v>60</v>
      </c>
      <c r="E108" t="str">
        <f>"TR TO C/A"</f>
        <v>TR TO C/A</v>
      </c>
      <c r="F108">
        <v>9938</v>
      </c>
      <c r="G108" t="str">
        <f>"20136886"</f>
        <v>20136886</v>
      </c>
      <c r="H108" s="1">
        <v>270</v>
      </c>
      <c r="I108" t="s">
        <v>28</v>
      </c>
      <c r="J108" s="1">
        <v>554864.99</v>
      </c>
      <c r="K108" t="s">
        <v>26</v>
      </c>
      <c r="L108">
        <v>182646</v>
      </c>
      <c r="M108" t="str">
        <f>"GUIDE FEE AUG TOH KIM HOCK"</f>
        <v>GUIDE FEE AUG TOH KIM HOCK</v>
      </c>
      <c r="O108">
        <v>1</v>
      </c>
      <c r="P108" t="str">
        <f>"PGTEFT2538"</f>
        <v>PGTEFT2538</v>
      </c>
      <c r="Q108" t="str">
        <f>"INV114T-2017"</f>
        <v>INV114T-2017</v>
      </c>
    </row>
    <row r="109" spans="1:17" x14ac:dyDescent="0.25">
      <c r="A109">
        <v>8003879954</v>
      </c>
      <c r="B109">
        <v>40</v>
      </c>
      <c r="C109">
        <v>25082017</v>
      </c>
      <c r="D109">
        <v>341</v>
      </c>
      <c r="E109" t="str">
        <f>"TR IBG"</f>
        <v>TR IBG</v>
      </c>
      <c r="F109">
        <v>9938</v>
      </c>
      <c r="G109" t="str">
        <f>"20137106"</f>
        <v>20137106</v>
      </c>
      <c r="H109" s="1">
        <v>1250</v>
      </c>
      <c r="I109" t="s">
        <v>28</v>
      </c>
      <c r="J109" s="1">
        <v>555134.99</v>
      </c>
      <c r="K109" t="s">
        <v>26</v>
      </c>
      <c r="L109">
        <v>182643</v>
      </c>
      <c r="M109" t="str">
        <f>"SHERWYND RYLAN KESSL"</f>
        <v>SHERWYND RYLAN KESSL</v>
      </c>
      <c r="O109">
        <v>1</v>
      </c>
      <c r="P109" t="str">
        <f>"PGTEFT2537"</f>
        <v>PGTEFT2537</v>
      </c>
      <c r="Q109" t="str">
        <f>"INV001107"</f>
        <v>INV001107</v>
      </c>
    </row>
    <row r="110" spans="1:17" x14ac:dyDescent="0.25">
      <c r="A110">
        <v>8003879954</v>
      </c>
      <c r="B110">
        <v>39</v>
      </c>
      <c r="C110">
        <v>25082017</v>
      </c>
      <c r="D110">
        <v>299</v>
      </c>
      <c r="E110" t="str">
        <f>"GST"</f>
        <v>GST</v>
      </c>
      <c r="F110">
        <v>9938</v>
      </c>
      <c r="G110" t="str">
        <f>"20137106"</f>
        <v>20137106</v>
      </c>
      <c r="H110" s="1">
        <v>0.01</v>
      </c>
      <c r="I110" t="s">
        <v>28</v>
      </c>
      <c r="J110" s="1">
        <v>556384.99</v>
      </c>
      <c r="K110" t="s">
        <v>26</v>
      </c>
      <c r="L110">
        <v>182643</v>
      </c>
      <c r="M110" t="str">
        <f>"PGTEFT2537          INV001107"</f>
        <v>PGTEFT2537          INV001107</v>
      </c>
      <c r="O110">
        <v>1</v>
      </c>
    </row>
    <row r="111" spans="1:17" x14ac:dyDescent="0.25">
      <c r="A111">
        <v>8003879954</v>
      </c>
      <c r="B111">
        <v>38</v>
      </c>
      <c r="C111">
        <v>25082017</v>
      </c>
      <c r="D111">
        <v>489</v>
      </c>
      <c r="E111" t="str">
        <f>"OTHER TRANSFER FEE"</f>
        <v>OTHER TRANSFER FEE</v>
      </c>
      <c r="F111">
        <v>9938</v>
      </c>
      <c r="G111" t="str">
        <f>"20137106"</f>
        <v>20137106</v>
      </c>
      <c r="H111" s="1">
        <v>0.1</v>
      </c>
      <c r="I111" t="s">
        <v>28</v>
      </c>
      <c r="J111" s="1">
        <v>556385</v>
      </c>
      <c r="K111" t="s">
        <v>26</v>
      </c>
      <c r="L111">
        <v>182643</v>
      </c>
      <c r="M111" t="str">
        <f>"PGTEFT2537          INV001107"</f>
        <v>PGTEFT2537          INV001107</v>
      </c>
      <c r="O111">
        <v>1</v>
      </c>
    </row>
    <row r="112" spans="1:17" x14ac:dyDescent="0.25">
      <c r="A112">
        <v>8003879954</v>
      </c>
      <c r="B112">
        <v>37</v>
      </c>
      <c r="C112">
        <v>25082017</v>
      </c>
      <c r="D112">
        <v>341</v>
      </c>
      <c r="E112" t="str">
        <f>"TR IBG"</f>
        <v>TR IBG</v>
      </c>
      <c r="F112">
        <v>9938</v>
      </c>
      <c r="G112" t="str">
        <f>"20134751"</f>
        <v>20134751</v>
      </c>
      <c r="H112" s="1">
        <v>1000</v>
      </c>
      <c r="I112" t="s">
        <v>28</v>
      </c>
      <c r="J112" s="1">
        <v>556385.1</v>
      </c>
      <c r="K112" t="s">
        <v>26</v>
      </c>
      <c r="L112">
        <v>182644</v>
      </c>
      <c r="M112" t="str">
        <f>"MUSTAFA KAMAL BIN MO"</f>
        <v>MUSTAFA KAMAL BIN MO</v>
      </c>
      <c r="O112">
        <v>1</v>
      </c>
      <c r="P112" t="str">
        <f>"PGTEFT2545"</f>
        <v>PGTEFT2545</v>
      </c>
      <c r="Q112" t="str">
        <f>"PGT BOD MEETING ALLO"</f>
        <v>PGT BOD MEETING ALLO</v>
      </c>
    </row>
    <row r="113" spans="1:17" x14ac:dyDescent="0.25">
      <c r="A113">
        <v>8003879954</v>
      </c>
      <c r="B113">
        <v>36</v>
      </c>
      <c r="C113">
        <v>25082017</v>
      </c>
      <c r="D113">
        <v>299</v>
      </c>
      <c r="E113" t="str">
        <f>"GST"</f>
        <v>GST</v>
      </c>
      <c r="F113">
        <v>9938</v>
      </c>
      <c r="G113" t="str">
        <f>"20134751"</f>
        <v>20134751</v>
      </c>
      <c r="H113" s="1">
        <v>0.01</v>
      </c>
      <c r="I113" t="s">
        <v>28</v>
      </c>
      <c r="J113" s="1">
        <v>557385.1</v>
      </c>
      <c r="K113" t="s">
        <v>26</v>
      </c>
      <c r="L113">
        <v>182644</v>
      </c>
      <c r="M113" t="str">
        <f>"PGTEFT2545          PGT BOD MEETING ALLO"</f>
        <v>PGTEFT2545          PGT BOD MEETING ALLO</v>
      </c>
      <c r="O113">
        <v>1</v>
      </c>
    </row>
    <row r="114" spans="1:17" x14ac:dyDescent="0.25">
      <c r="A114">
        <v>8003879954</v>
      </c>
      <c r="B114">
        <v>35</v>
      </c>
      <c r="C114">
        <v>25082017</v>
      </c>
      <c r="D114">
        <v>489</v>
      </c>
      <c r="E114" t="str">
        <f>"OTHER TRANSFER FEE"</f>
        <v>OTHER TRANSFER FEE</v>
      </c>
      <c r="F114">
        <v>9938</v>
      </c>
      <c r="G114" t="str">
        <f>"20134751"</f>
        <v>20134751</v>
      </c>
      <c r="H114" s="1">
        <v>0.1</v>
      </c>
      <c r="I114" t="s">
        <v>28</v>
      </c>
      <c r="J114" s="1">
        <v>557385.11</v>
      </c>
      <c r="K114" t="s">
        <v>26</v>
      </c>
      <c r="L114">
        <v>182644</v>
      </c>
      <c r="M114" t="str">
        <f>"PGTEFT2545          PGT BOD MEETING ALLO"</f>
        <v>PGTEFT2545          PGT BOD MEETING ALLO</v>
      </c>
      <c r="O114">
        <v>1</v>
      </c>
    </row>
    <row r="115" spans="1:17" x14ac:dyDescent="0.25">
      <c r="A115">
        <v>8003879954</v>
      </c>
      <c r="B115">
        <v>34</v>
      </c>
      <c r="C115">
        <v>25082017</v>
      </c>
      <c r="D115">
        <v>345</v>
      </c>
      <c r="E115" t="str">
        <f>"TR TO SAVINGS"</f>
        <v>TR TO SAVINGS</v>
      </c>
      <c r="F115">
        <v>9938</v>
      </c>
      <c r="G115" t="str">
        <f>"20136398"</f>
        <v>20136398</v>
      </c>
      <c r="H115" s="1">
        <v>288.24</v>
      </c>
      <c r="I115" t="s">
        <v>28</v>
      </c>
      <c r="J115" s="1">
        <v>557385.21</v>
      </c>
      <c r="K115" t="s">
        <v>26</v>
      </c>
      <c r="L115">
        <v>182644</v>
      </c>
      <c r="M115" t="str">
        <f>"HANATOUR FAM YOON PAULINE"</f>
        <v>HANATOUR FAM YOON PAULINE</v>
      </c>
      <c r="O115">
        <v>1</v>
      </c>
      <c r="P115" t="str">
        <f>"PGTEFT2540"</f>
        <v>PGTEFT2540</v>
      </c>
      <c r="Q115" t="str">
        <f>"CLAIMS"</f>
        <v>CLAIMS</v>
      </c>
    </row>
    <row r="116" spans="1:17" x14ac:dyDescent="0.25">
      <c r="A116">
        <v>8003879954</v>
      </c>
      <c r="B116">
        <v>33</v>
      </c>
      <c r="C116">
        <v>25082017</v>
      </c>
      <c r="D116">
        <v>60</v>
      </c>
      <c r="E116" t="str">
        <f>"TR TO C/A"</f>
        <v>TR TO C/A</v>
      </c>
      <c r="F116">
        <v>9938</v>
      </c>
      <c r="G116" t="str">
        <f>"20134337"</f>
        <v>20134337</v>
      </c>
      <c r="H116" s="1">
        <v>1000</v>
      </c>
      <c r="I116" t="s">
        <v>28</v>
      </c>
      <c r="J116" s="1">
        <v>557673.44999999995</v>
      </c>
      <c r="K116" t="s">
        <v>26</v>
      </c>
      <c r="L116">
        <v>182643</v>
      </c>
      <c r="M116" t="str">
        <f>"2016 TAN SAM SOON"</f>
        <v>2016 TAN SAM SOON</v>
      </c>
      <c r="O116">
        <v>1</v>
      </c>
      <c r="P116" t="str">
        <f>"PGTEFT2547"</f>
        <v>PGTEFT2547</v>
      </c>
      <c r="Q116" t="str">
        <f>"PGT BOD MEETING ALLO"</f>
        <v>PGT BOD MEETING ALLO</v>
      </c>
    </row>
    <row r="117" spans="1:17" x14ac:dyDescent="0.25">
      <c r="A117">
        <v>8003879954</v>
      </c>
      <c r="B117">
        <v>32</v>
      </c>
      <c r="C117">
        <v>25082017</v>
      </c>
      <c r="D117">
        <v>341</v>
      </c>
      <c r="E117" t="str">
        <f>"TR IBG"</f>
        <v>TR IBG</v>
      </c>
      <c r="F117">
        <v>9938</v>
      </c>
      <c r="G117" t="str">
        <f>"20135069"</f>
        <v>20135069</v>
      </c>
      <c r="H117" s="1">
        <v>600</v>
      </c>
      <c r="I117" t="s">
        <v>28</v>
      </c>
      <c r="J117" s="1">
        <v>558673.44999999995</v>
      </c>
      <c r="K117" t="s">
        <v>26</v>
      </c>
      <c r="L117">
        <v>182643</v>
      </c>
      <c r="M117" t="str">
        <f>"ABDUL MALIK BIN ABDU"</f>
        <v>ABDUL MALIK BIN ABDU</v>
      </c>
      <c r="O117">
        <v>1</v>
      </c>
      <c r="P117" t="str">
        <f>"PGTEFT2544"</f>
        <v>PGTEFT2544</v>
      </c>
      <c r="Q117" t="str">
        <f>"PGT BOD MEETING ALLO"</f>
        <v>PGT BOD MEETING ALLO</v>
      </c>
    </row>
    <row r="118" spans="1:17" x14ac:dyDescent="0.25">
      <c r="A118">
        <v>8003879954</v>
      </c>
      <c r="B118">
        <v>31</v>
      </c>
      <c r="C118">
        <v>25082017</v>
      </c>
      <c r="D118">
        <v>299</v>
      </c>
      <c r="E118" t="str">
        <f>"GST"</f>
        <v>GST</v>
      </c>
      <c r="F118">
        <v>9938</v>
      </c>
      <c r="G118" t="str">
        <f>"20135069"</f>
        <v>20135069</v>
      </c>
      <c r="H118" s="1">
        <v>0.01</v>
      </c>
      <c r="I118" t="s">
        <v>28</v>
      </c>
      <c r="J118" s="1">
        <v>559273.44999999995</v>
      </c>
      <c r="K118" t="s">
        <v>26</v>
      </c>
      <c r="L118">
        <v>182643</v>
      </c>
      <c r="M118" t="str">
        <f>"PGTEFT2544          PGT BOD MEETING ALLO"</f>
        <v>PGTEFT2544          PGT BOD MEETING ALLO</v>
      </c>
      <c r="O118">
        <v>1</v>
      </c>
    </row>
    <row r="119" spans="1:17" x14ac:dyDescent="0.25">
      <c r="A119">
        <v>8003879954</v>
      </c>
      <c r="B119">
        <v>30</v>
      </c>
      <c r="C119">
        <v>25082017</v>
      </c>
      <c r="D119">
        <v>489</v>
      </c>
      <c r="E119" t="str">
        <f>"OTHER TRANSFER FEE"</f>
        <v>OTHER TRANSFER FEE</v>
      </c>
      <c r="F119">
        <v>9938</v>
      </c>
      <c r="G119" t="str">
        <f>"20135069"</f>
        <v>20135069</v>
      </c>
      <c r="H119" s="1">
        <v>0.1</v>
      </c>
      <c r="I119" t="s">
        <v>28</v>
      </c>
      <c r="J119" s="1">
        <v>559273.46</v>
      </c>
      <c r="K119" t="s">
        <v>26</v>
      </c>
      <c r="L119">
        <v>182643</v>
      </c>
      <c r="M119" t="str">
        <f>"PGTEFT2544          PGT BOD MEETING ALLO"</f>
        <v>PGTEFT2544          PGT BOD MEETING ALLO</v>
      </c>
      <c r="O119">
        <v>1</v>
      </c>
    </row>
    <row r="120" spans="1:17" x14ac:dyDescent="0.25">
      <c r="A120">
        <v>8003879954</v>
      </c>
      <c r="B120">
        <v>29</v>
      </c>
      <c r="C120">
        <v>25082017</v>
      </c>
      <c r="D120">
        <v>341</v>
      </c>
      <c r="E120" t="str">
        <f>"TR IBG"</f>
        <v>TR IBG</v>
      </c>
      <c r="F120">
        <v>9938</v>
      </c>
      <c r="G120" t="str">
        <f>"20136804"</f>
        <v>20136804</v>
      </c>
      <c r="H120" s="1">
        <v>424</v>
      </c>
      <c r="I120" t="s">
        <v>28</v>
      </c>
      <c r="J120" s="1">
        <v>559273.56000000006</v>
      </c>
      <c r="K120" t="s">
        <v>26</v>
      </c>
      <c r="L120">
        <v>182643</v>
      </c>
      <c r="M120" t="str">
        <f>"VCREATE SDN BHD"</f>
        <v>VCREATE SDN BHD</v>
      </c>
      <c r="O120">
        <v>1</v>
      </c>
      <c r="P120" t="str">
        <f>"PGTEFT2539"</f>
        <v>PGTEFT2539</v>
      </c>
      <c r="Q120" t="str">
        <f>"INV10750-17"</f>
        <v>INV10750-17</v>
      </c>
    </row>
    <row r="121" spans="1:17" x14ac:dyDescent="0.25">
      <c r="A121">
        <v>8003879954</v>
      </c>
      <c r="B121">
        <v>28</v>
      </c>
      <c r="C121">
        <v>25082017</v>
      </c>
      <c r="D121">
        <v>299</v>
      </c>
      <c r="E121" t="str">
        <f>"GST"</f>
        <v>GST</v>
      </c>
      <c r="F121">
        <v>9938</v>
      </c>
      <c r="G121" t="str">
        <f>"20136804"</f>
        <v>20136804</v>
      </c>
      <c r="H121" s="1">
        <v>0.01</v>
      </c>
      <c r="I121" t="s">
        <v>28</v>
      </c>
      <c r="J121" s="1">
        <v>559697.56000000006</v>
      </c>
      <c r="K121" t="s">
        <v>26</v>
      </c>
      <c r="L121">
        <v>182643</v>
      </c>
      <c r="M121" t="str">
        <f>"PGTEFT2539          INV10750-17"</f>
        <v>PGTEFT2539          INV10750-17</v>
      </c>
      <c r="O121">
        <v>1</v>
      </c>
    </row>
    <row r="122" spans="1:17" x14ac:dyDescent="0.25">
      <c r="A122">
        <v>8003879954</v>
      </c>
      <c r="B122">
        <v>27</v>
      </c>
      <c r="C122">
        <v>25082017</v>
      </c>
      <c r="D122">
        <v>489</v>
      </c>
      <c r="E122" t="str">
        <f>"OTHER TRANSFER FEE"</f>
        <v>OTHER TRANSFER FEE</v>
      </c>
      <c r="F122">
        <v>9938</v>
      </c>
      <c r="G122" t="str">
        <f>"20136804"</f>
        <v>20136804</v>
      </c>
      <c r="H122" s="1">
        <v>0.1</v>
      </c>
      <c r="I122" t="s">
        <v>28</v>
      </c>
      <c r="J122" s="1">
        <v>559697.56999999995</v>
      </c>
      <c r="K122" t="s">
        <v>26</v>
      </c>
      <c r="L122">
        <v>182643</v>
      </c>
      <c r="M122" t="str">
        <f>"PGTEFT2539          INV10750-17"</f>
        <v>PGTEFT2539          INV10750-17</v>
      </c>
      <c r="O122">
        <v>1</v>
      </c>
    </row>
    <row r="123" spans="1:17" x14ac:dyDescent="0.25">
      <c r="A123">
        <v>8003879954</v>
      </c>
      <c r="B123">
        <v>26</v>
      </c>
      <c r="C123">
        <v>25082017</v>
      </c>
      <c r="D123">
        <v>341</v>
      </c>
      <c r="E123" t="str">
        <f>"TR IBG"</f>
        <v>TR IBG</v>
      </c>
      <c r="F123">
        <v>9938</v>
      </c>
      <c r="G123" t="str">
        <f>"20135979"</f>
        <v>20135979</v>
      </c>
      <c r="H123" s="1">
        <v>60.35</v>
      </c>
      <c r="I123" t="s">
        <v>28</v>
      </c>
      <c r="J123" s="1">
        <v>559697.67000000004</v>
      </c>
      <c r="K123" t="s">
        <v>26</v>
      </c>
      <c r="L123">
        <v>182643</v>
      </c>
      <c r="M123" t="str">
        <f>"WEB ASP SDN BHD"</f>
        <v>WEB ASP SDN BHD</v>
      </c>
      <c r="O123">
        <v>1</v>
      </c>
      <c r="P123" t="str">
        <f>"PGTEFT2541"</f>
        <v>PGTEFT2541</v>
      </c>
      <c r="Q123" t="str">
        <f>"1618-3542"</f>
        <v>1618-3542</v>
      </c>
    </row>
    <row r="124" spans="1:17" x14ac:dyDescent="0.25">
      <c r="A124">
        <v>8003879954</v>
      </c>
      <c r="B124">
        <v>25</v>
      </c>
      <c r="C124">
        <v>25082017</v>
      </c>
      <c r="D124">
        <v>299</v>
      </c>
      <c r="E124" t="str">
        <f>"GST"</f>
        <v>GST</v>
      </c>
      <c r="F124">
        <v>9938</v>
      </c>
      <c r="G124" t="str">
        <f>"20135979"</f>
        <v>20135979</v>
      </c>
      <c r="H124" s="1">
        <v>0.01</v>
      </c>
      <c r="I124" t="s">
        <v>28</v>
      </c>
      <c r="J124" s="1">
        <v>559758.02</v>
      </c>
      <c r="K124" t="s">
        <v>26</v>
      </c>
      <c r="L124">
        <v>182643</v>
      </c>
      <c r="M124" t="str">
        <f>"PGTEFT2541          1618-3542"</f>
        <v>PGTEFT2541          1618-3542</v>
      </c>
      <c r="O124">
        <v>1</v>
      </c>
    </row>
    <row r="125" spans="1:17" x14ac:dyDescent="0.25">
      <c r="A125">
        <v>8003879954</v>
      </c>
      <c r="B125">
        <v>24</v>
      </c>
      <c r="C125">
        <v>25082017</v>
      </c>
      <c r="D125">
        <v>489</v>
      </c>
      <c r="E125" t="str">
        <f>"OTHER TRANSFER FEE"</f>
        <v>OTHER TRANSFER FEE</v>
      </c>
      <c r="F125">
        <v>9938</v>
      </c>
      <c r="G125" t="str">
        <f>"20135979"</f>
        <v>20135979</v>
      </c>
      <c r="H125" s="1">
        <v>0.1</v>
      </c>
      <c r="I125" t="s">
        <v>28</v>
      </c>
      <c r="J125" s="1">
        <v>559758.03</v>
      </c>
      <c r="K125" t="s">
        <v>26</v>
      </c>
      <c r="L125">
        <v>182643</v>
      </c>
      <c r="M125" t="str">
        <f>"PGTEFT2541          1618-3542"</f>
        <v>PGTEFT2541          1618-3542</v>
      </c>
      <c r="O125">
        <v>1</v>
      </c>
    </row>
    <row r="126" spans="1:17" x14ac:dyDescent="0.25">
      <c r="A126">
        <v>8003879954</v>
      </c>
      <c r="B126">
        <v>23</v>
      </c>
      <c r="C126">
        <v>25082017</v>
      </c>
      <c r="D126">
        <v>60</v>
      </c>
      <c r="E126" t="str">
        <f>"TR TO C/A"</f>
        <v>TR TO C/A</v>
      </c>
      <c r="F126">
        <v>9938</v>
      </c>
      <c r="G126" t="str">
        <f>"20134530"</f>
        <v>20134530</v>
      </c>
      <c r="H126" s="1">
        <v>800</v>
      </c>
      <c r="I126" t="s">
        <v>28</v>
      </c>
      <c r="J126" s="1">
        <v>559758.13</v>
      </c>
      <c r="K126" t="s">
        <v>26</v>
      </c>
      <c r="L126">
        <v>182643</v>
      </c>
      <c r="M126" t="str">
        <f>"2016 DANNY GOON SIEW CHE"</f>
        <v>2016 DANNY GOON SIEW CHE</v>
      </c>
      <c r="O126">
        <v>1</v>
      </c>
      <c r="P126" t="str">
        <f>"PGTEFT2546"</f>
        <v>PGTEFT2546</v>
      </c>
      <c r="Q126" t="str">
        <f>"PGT BOD MEETING ALLO"</f>
        <v>PGT BOD MEETING ALLO</v>
      </c>
    </row>
    <row r="127" spans="1:17" x14ac:dyDescent="0.25">
      <c r="A127">
        <v>8003879954</v>
      </c>
      <c r="B127">
        <v>22</v>
      </c>
      <c r="C127">
        <v>25082017</v>
      </c>
      <c r="D127">
        <v>341</v>
      </c>
      <c r="E127" t="str">
        <f>"TR IBG"</f>
        <v>TR IBG</v>
      </c>
      <c r="F127">
        <v>9938</v>
      </c>
      <c r="G127" t="str">
        <f>"20137270"</f>
        <v>20137270</v>
      </c>
      <c r="H127" s="1">
        <v>275.60000000000002</v>
      </c>
      <c r="I127" t="s">
        <v>28</v>
      </c>
      <c r="J127" s="1">
        <v>560558.13</v>
      </c>
      <c r="K127" t="s">
        <v>26</v>
      </c>
      <c r="L127">
        <v>182355</v>
      </c>
      <c r="M127" t="str">
        <f>"ROD CREATIVE SDN BHD"</f>
        <v>ROD CREATIVE SDN BHD</v>
      </c>
      <c r="O127">
        <v>1</v>
      </c>
      <c r="P127" t="str">
        <f>"PGTEFT2536"</f>
        <v>PGTEFT2536</v>
      </c>
      <c r="Q127" t="str">
        <f>"INV151547"</f>
        <v>INV151547</v>
      </c>
    </row>
    <row r="128" spans="1:17" x14ac:dyDescent="0.25">
      <c r="A128">
        <v>8003879954</v>
      </c>
      <c r="B128">
        <v>21</v>
      </c>
      <c r="C128">
        <v>25082017</v>
      </c>
      <c r="D128">
        <v>299</v>
      </c>
      <c r="E128" t="str">
        <f>"GST"</f>
        <v>GST</v>
      </c>
      <c r="F128">
        <v>9938</v>
      </c>
      <c r="G128" t="str">
        <f>"20137270"</f>
        <v>20137270</v>
      </c>
      <c r="H128" s="1">
        <v>0.01</v>
      </c>
      <c r="I128" t="s">
        <v>28</v>
      </c>
      <c r="J128" s="1">
        <v>560833.73</v>
      </c>
      <c r="K128" t="s">
        <v>26</v>
      </c>
      <c r="L128">
        <v>182355</v>
      </c>
      <c r="M128" t="str">
        <f>"PGTEFT2536          INV151547"</f>
        <v>PGTEFT2536          INV151547</v>
      </c>
      <c r="O128">
        <v>1</v>
      </c>
    </row>
    <row r="129" spans="1:17" x14ac:dyDescent="0.25">
      <c r="A129">
        <v>8003879954</v>
      </c>
      <c r="B129">
        <v>20</v>
      </c>
      <c r="C129">
        <v>25082017</v>
      </c>
      <c r="D129">
        <v>489</v>
      </c>
      <c r="E129" t="str">
        <f>"OTHER TRANSFER FEE"</f>
        <v>OTHER TRANSFER FEE</v>
      </c>
      <c r="F129">
        <v>9938</v>
      </c>
      <c r="G129" t="str">
        <f>"20137270"</f>
        <v>20137270</v>
      </c>
      <c r="H129" s="1">
        <v>0.1</v>
      </c>
      <c r="I129" t="s">
        <v>28</v>
      </c>
      <c r="J129" s="1">
        <v>560833.74</v>
      </c>
      <c r="K129" t="s">
        <v>26</v>
      </c>
      <c r="L129">
        <v>182355</v>
      </c>
      <c r="M129" t="str">
        <f>"PGTEFT2536          INV151547"</f>
        <v>PGTEFT2536          INV151547</v>
      </c>
      <c r="O129">
        <v>1</v>
      </c>
    </row>
    <row r="130" spans="1:17" x14ac:dyDescent="0.25">
      <c r="A130">
        <v>8003879954</v>
      </c>
      <c r="B130">
        <v>19</v>
      </c>
      <c r="C130">
        <v>25082017</v>
      </c>
      <c r="D130">
        <v>341</v>
      </c>
      <c r="E130" t="str">
        <f>"TR IBG"</f>
        <v>TR IBG</v>
      </c>
      <c r="F130">
        <v>9938</v>
      </c>
      <c r="G130" t="str">
        <f>"20137988"</f>
        <v>20137988</v>
      </c>
      <c r="H130" s="1">
        <v>3445</v>
      </c>
      <c r="I130" t="s">
        <v>28</v>
      </c>
      <c r="J130" s="1">
        <v>560833.84</v>
      </c>
      <c r="K130" t="s">
        <v>26</v>
      </c>
      <c r="L130">
        <v>182355</v>
      </c>
      <c r="M130" t="str">
        <f>"BRAND-NEW BANNERSHOP"</f>
        <v>BRAND-NEW BANNERSHOP</v>
      </c>
      <c r="O130">
        <v>1</v>
      </c>
      <c r="P130" t="str">
        <f>"PGTEFT2530"</f>
        <v>PGTEFT2530</v>
      </c>
      <c r="Q130" t="str">
        <f>"INV00043881"</f>
        <v>INV00043881</v>
      </c>
    </row>
    <row r="131" spans="1:17" x14ac:dyDescent="0.25">
      <c r="A131">
        <v>8003879954</v>
      </c>
      <c r="B131">
        <v>18</v>
      </c>
      <c r="C131">
        <v>25082017</v>
      </c>
      <c r="D131">
        <v>299</v>
      </c>
      <c r="E131" t="str">
        <f>"GST"</f>
        <v>GST</v>
      </c>
      <c r="F131">
        <v>9938</v>
      </c>
      <c r="G131" t="str">
        <f>"20137988"</f>
        <v>20137988</v>
      </c>
      <c r="H131" s="1">
        <v>0.01</v>
      </c>
      <c r="I131" t="s">
        <v>28</v>
      </c>
      <c r="J131" s="1">
        <v>564278.84</v>
      </c>
      <c r="K131" t="s">
        <v>26</v>
      </c>
      <c r="L131">
        <v>182355</v>
      </c>
      <c r="M131" t="str">
        <f>"PGTEFT2530          INV00043881"</f>
        <v>PGTEFT2530          INV00043881</v>
      </c>
      <c r="O131">
        <v>1</v>
      </c>
    </row>
    <row r="132" spans="1:17" x14ac:dyDescent="0.25">
      <c r="A132">
        <v>8003879954</v>
      </c>
      <c r="B132">
        <v>17</v>
      </c>
      <c r="C132">
        <v>25082017</v>
      </c>
      <c r="D132">
        <v>489</v>
      </c>
      <c r="E132" t="str">
        <f>"OTHER TRANSFER FEE"</f>
        <v>OTHER TRANSFER FEE</v>
      </c>
      <c r="F132">
        <v>9938</v>
      </c>
      <c r="G132" t="str">
        <f>"20137988"</f>
        <v>20137988</v>
      </c>
      <c r="H132" s="1">
        <v>0.1</v>
      </c>
      <c r="I132" t="s">
        <v>28</v>
      </c>
      <c r="J132" s="1">
        <v>564278.85</v>
      </c>
      <c r="K132" t="s">
        <v>26</v>
      </c>
      <c r="L132">
        <v>182355</v>
      </c>
      <c r="M132" t="str">
        <f>"PGTEFT2530          INV00043881"</f>
        <v>PGTEFT2530          INV00043881</v>
      </c>
      <c r="O132">
        <v>1</v>
      </c>
    </row>
    <row r="133" spans="1:17" x14ac:dyDescent="0.25">
      <c r="A133">
        <v>8003879954</v>
      </c>
      <c r="B133">
        <v>16</v>
      </c>
      <c r="C133">
        <v>25082017</v>
      </c>
      <c r="D133">
        <v>341</v>
      </c>
      <c r="E133" t="str">
        <f>"TR IBG"</f>
        <v>TR IBG</v>
      </c>
      <c r="F133">
        <v>9938</v>
      </c>
      <c r="G133" t="str">
        <f>"20137617"</f>
        <v>20137617</v>
      </c>
      <c r="H133" s="1">
        <v>2728.85</v>
      </c>
      <c r="I133" t="s">
        <v>28</v>
      </c>
      <c r="J133" s="1">
        <v>564278.94999999995</v>
      </c>
      <c r="K133" t="s">
        <v>26</v>
      </c>
      <c r="L133">
        <v>182355</v>
      </c>
      <c r="M133" t="str">
        <f>"PRESIDENT HOTEL SDN"</f>
        <v>PRESIDENT HOTEL SDN</v>
      </c>
      <c r="O133">
        <v>1</v>
      </c>
      <c r="P133" t="str">
        <f>"PGTEFT2534"</f>
        <v>PGTEFT2534</v>
      </c>
      <c r="Q133" t="str">
        <f>"INV6965724"</f>
        <v>INV6965724</v>
      </c>
    </row>
    <row r="134" spans="1:17" x14ac:dyDescent="0.25">
      <c r="A134">
        <v>8003879954</v>
      </c>
      <c r="B134">
        <v>15</v>
      </c>
      <c r="C134">
        <v>25082017</v>
      </c>
      <c r="D134">
        <v>299</v>
      </c>
      <c r="E134" t="str">
        <f>"GST"</f>
        <v>GST</v>
      </c>
      <c r="F134">
        <v>9938</v>
      </c>
      <c r="G134" t="str">
        <f>"20137617"</f>
        <v>20137617</v>
      </c>
      <c r="H134" s="1">
        <v>0.01</v>
      </c>
      <c r="I134" t="s">
        <v>28</v>
      </c>
      <c r="J134" s="1">
        <v>567007.80000000005</v>
      </c>
      <c r="K134" t="s">
        <v>26</v>
      </c>
      <c r="L134">
        <v>182355</v>
      </c>
      <c r="M134" t="str">
        <f>"PGTEFT2534          INV6965724"</f>
        <v>PGTEFT2534          INV6965724</v>
      </c>
      <c r="O134">
        <v>1</v>
      </c>
    </row>
    <row r="135" spans="1:17" x14ac:dyDescent="0.25">
      <c r="A135">
        <v>8003879954</v>
      </c>
      <c r="B135">
        <v>14</v>
      </c>
      <c r="C135">
        <v>25082017</v>
      </c>
      <c r="D135">
        <v>489</v>
      </c>
      <c r="E135" t="str">
        <f>"OTHER TRANSFER FEE"</f>
        <v>OTHER TRANSFER FEE</v>
      </c>
      <c r="F135">
        <v>9938</v>
      </c>
      <c r="G135" t="str">
        <f>"20137617"</f>
        <v>20137617</v>
      </c>
      <c r="H135" s="1">
        <v>0.1</v>
      </c>
      <c r="I135" t="s">
        <v>28</v>
      </c>
      <c r="J135" s="1">
        <v>567007.81000000006</v>
      </c>
      <c r="K135" t="s">
        <v>26</v>
      </c>
      <c r="L135">
        <v>182355</v>
      </c>
      <c r="M135" t="str">
        <f>"PGTEFT2534          INV6965724"</f>
        <v>PGTEFT2534          INV6965724</v>
      </c>
      <c r="O135">
        <v>1</v>
      </c>
    </row>
    <row r="136" spans="1:17" x14ac:dyDescent="0.25">
      <c r="A136">
        <v>8003879954</v>
      </c>
      <c r="B136">
        <v>13</v>
      </c>
      <c r="C136">
        <v>25082017</v>
      </c>
      <c r="D136">
        <v>341</v>
      </c>
      <c r="E136" t="str">
        <f>"TR IBG"</f>
        <v>TR IBG</v>
      </c>
      <c r="F136">
        <v>9938</v>
      </c>
      <c r="G136" t="str">
        <f>"20138417"</f>
        <v>20138417</v>
      </c>
      <c r="H136" s="1">
        <v>123.9</v>
      </c>
      <c r="I136" t="s">
        <v>28</v>
      </c>
      <c r="J136" s="1">
        <v>567007.91</v>
      </c>
      <c r="K136" t="s">
        <v>26</v>
      </c>
      <c r="L136">
        <v>182355</v>
      </c>
      <c r="M136" t="str">
        <f>"ADELINE CHUA SHU TIN"</f>
        <v>ADELINE CHUA SHU TIN</v>
      </c>
      <c r="O136">
        <v>1</v>
      </c>
      <c r="P136" t="str">
        <f>"PGTEFT2528"</f>
        <v>PGTEFT2528</v>
      </c>
      <c r="Q136" t="str">
        <f>"COPYWRITING -PGT WEB"</f>
        <v>COPYWRITING -PGT WEB</v>
      </c>
    </row>
    <row r="137" spans="1:17" x14ac:dyDescent="0.25">
      <c r="A137">
        <v>8003879954</v>
      </c>
      <c r="B137">
        <v>12</v>
      </c>
      <c r="C137">
        <v>25082017</v>
      </c>
      <c r="D137">
        <v>299</v>
      </c>
      <c r="E137" t="str">
        <f>"GST"</f>
        <v>GST</v>
      </c>
      <c r="F137">
        <v>9938</v>
      </c>
      <c r="G137" t="str">
        <f>"20138417"</f>
        <v>20138417</v>
      </c>
      <c r="H137" s="1">
        <v>0.01</v>
      </c>
      <c r="I137" t="s">
        <v>28</v>
      </c>
      <c r="J137" s="1">
        <v>567131.81000000006</v>
      </c>
      <c r="K137" t="s">
        <v>26</v>
      </c>
      <c r="L137">
        <v>182355</v>
      </c>
      <c r="M137" t="str">
        <f>"PGTEFT2528          COPYWRITING -PGT WEB"</f>
        <v>PGTEFT2528          COPYWRITING -PGT WEB</v>
      </c>
      <c r="O137">
        <v>1</v>
      </c>
    </row>
    <row r="138" spans="1:17" x14ac:dyDescent="0.25">
      <c r="A138">
        <v>8003879954</v>
      </c>
      <c r="B138">
        <v>11</v>
      </c>
      <c r="C138">
        <v>25082017</v>
      </c>
      <c r="D138">
        <v>489</v>
      </c>
      <c r="E138" t="str">
        <f>"OTHER TRANSFER FEE"</f>
        <v>OTHER TRANSFER FEE</v>
      </c>
      <c r="F138">
        <v>9938</v>
      </c>
      <c r="G138" t="str">
        <f>"20138417"</f>
        <v>20138417</v>
      </c>
      <c r="H138" s="1">
        <v>0.1</v>
      </c>
      <c r="I138" t="s">
        <v>28</v>
      </c>
      <c r="J138" s="1">
        <v>567131.81999999995</v>
      </c>
      <c r="K138" t="s">
        <v>26</v>
      </c>
      <c r="L138">
        <v>182355</v>
      </c>
      <c r="M138" t="str">
        <f>"PGTEFT2528          COPYWRITING -PGT WEB"</f>
        <v>PGTEFT2528          COPYWRITING -PGT WEB</v>
      </c>
      <c r="O138">
        <v>1</v>
      </c>
    </row>
    <row r="139" spans="1:17" x14ac:dyDescent="0.25">
      <c r="A139">
        <v>8003879954</v>
      </c>
      <c r="B139">
        <v>10</v>
      </c>
      <c r="C139">
        <v>25082017</v>
      </c>
      <c r="D139">
        <v>60</v>
      </c>
      <c r="E139" t="str">
        <f>"TR TO C/A"</f>
        <v>TR TO C/A</v>
      </c>
      <c r="F139">
        <v>9938</v>
      </c>
      <c r="G139" t="str">
        <f>"20137762"</f>
        <v>20137762</v>
      </c>
      <c r="H139" s="1">
        <v>448</v>
      </c>
      <c r="I139" t="s">
        <v>28</v>
      </c>
      <c r="J139" s="1">
        <v>567131.92000000004</v>
      </c>
      <c r="K139" t="s">
        <v>26</v>
      </c>
      <c r="L139">
        <v>182355</v>
      </c>
      <c r="M139" t="str">
        <f>"FAREWELL LUNCH LIM HOOI LENG"</f>
        <v>FAREWELL LUNCH LIM HOOI LENG</v>
      </c>
      <c r="O139">
        <v>1</v>
      </c>
      <c r="P139" t="str">
        <f>"PGTEFT2532"</f>
        <v>PGTEFT2532</v>
      </c>
      <c r="Q139" t="str">
        <f>"CLAIMS"</f>
        <v>CLAIMS</v>
      </c>
    </row>
    <row r="140" spans="1:17" x14ac:dyDescent="0.25">
      <c r="A140">
        <v>8003879954</v>
      </c>
      <c r="B140">
        <v>9</v>
      </c>
      <c r="C140">
        <v>25082017</v>
      </c>
      <c r="D140">
        <v>341</v>
      </c>
      <c r="E140" t="str">
        <f>"TR IBG"</f>
        <v>TR IBG</v>
      </c>
      <c r="F140">
        <v>9938</v>
      </c>
      <c r="G140" t="str">
        <f>"20138259"</f>
        <v>20138259</v>
      </c>
      <c r="H140" s="1">
        <v>4500</v>
      </c>
      <c r="I140" t="s">
        <v>28</v>
      </c>
      <c r="J140" s="1">
        <v>567579.92000000004</v>
      </c>
      <c r="K140" t="s">
        <v>26</v>
      </c>
      <c r="L140">
        <v>182354</v>
      </c>
      <c r="M140" t="str">
        <f>"ARCHY PUBLISHING PLT"</f>
        <v>ARCHY PUBLISHING PLT</v>
      </c>
      <c r="O140">
        <v>1</v>
      </c>
      <c r="P140" t="str">
        <f>"PGTEFT2529"</f>
        <v>PGTEFT2529</v>
      </c>
      <c r="Q140" t="str">
        <f>"20170726-005"</f>
        <v>20170726-005</v>
      </c>
    </row>
    <row r="141" spans="1:17" x14ac:dyDescent="0.25">
      <c r="A141">
        <v>8003879954</v>
      </c>
      <c r="B141">
        <v>8</v>
      </c>
      <c r="C141">
        <v>25082017</v>
      </c>
      <c r="D141">
        <v>299</v>
      </c>
      <c r="E141" t="str">
        <f>"GST"</f>
        <v>GST</v>
      </c>
      <c r="F141">
        <v>9938</v>
      </c>
      <c r="G141" t="str">
        <f>"20138259"</f>
        <v>20138259</v>
      </c>
      <c r="H141" s="1">
        <v>0.01</v>
      </c>
      <c r="I141" t="s">
        <v>28</v>
      </c>
      <c r="J141" s="1">
        <v>572079.92000000004</v>
      </c>
      <c r="K141" t="s">
        <v>26</v>
      </c>
      <c r="L141">
        <v>182354</v>
      </c>
      <c r="M141" t="str">
        <f>"PGTEFT2529          20170726-005"</f>
        <v>PGTEFT2529          20170726-005</v>
      </c>
      <c r="O141">
        <v>1</v>
      </c>
    </row>
    <row r="142" spans="1:17" x14ac:dyDescent="0.25">
      <c r="A142">
        <v>8003879954</v>
      </c>
      <c r="B142">
        <v>7</v>
      </c>
      <c r="C142">
        <v>25082017</v>
      </c>
      <c r="D142">
        <v>489</v>
      </c>
      <c r="E142" t="str">
        <f>"OTHER TRANSFER FEE"</f>
        <v>OTHER TRANSFER FEE</v>
      </c>
      <c r="F142">
        <v>9938</v>
      </c>
      <c r="G142" t="str">
        <f>"20138259"</f>
        <v>20138259</v>
      </c>
      <c r="H142" s="1">
        <v>0.1</v>
      </c>
      <c r="I142" t="s">
        <v>28</v>
      </c>
      <c r="J142" s="1">
        <v>572079.93000000005</v>
      </c>
      <c r="K142" t="s">
        <v>26</v>
      </c>
      <c r="L142">
        <v>182354</v>
      </c>
      <c r="M142" t="str">
        <f>"PGTEFT2529          20170726-005"</f>
        <v>PGTEFT2529          20170726-005</v>
      </c>
      <c r="O142">
        <v>1</v>
      </c>
    </row>
    <row r="143" spans="1:17" x14ac:dyDescent="0.25">
      <c r="A143">
        <v>8003879954</v>
      </c>
      <c r="B143">
        <v>6</v>
      </c>
      <c r="C143">
        <v>25082017</v>
      </c>
      <c r="D143">
        <v>341</v>
      </c>
      <c r="E143" t="str">
        <f>"TR IBG"</f>
        <v>TR IBG</v>
      </c>
      <c r="F143">
        <v>9938</v>
      </c>
      <c r="G143" t="str">
        <f>"20137874"</f>
        <v>20137874</v>
      </c>
      <c r="H143" s="1">
        <v>360</v>
      </c>
      <c r="I143" t="s">
        <v>28</v>
      </c>
      <c r="J143" s="1">
        <v>572080.03</v>
      </c>
      <c r="K143" t="s">
        <v>26</v>
      </c>
      <c r="L143">
        <v>182354</v>
      </c>
      <c r="M143" t="str">
        <f>"LIANG CHOW MING"</f>
        <v>LIANG CHOW MING</v>
      </c>
      <c r="O143">
        <v>1</v>
      </c>
      <c r="P143" t="str">
        <f>"PGTEFT2531"</f>
        <v>PGTEFT2531</v>
      </c>
      <c r="Q143" t="str">
        <f>"INV19532 19533"</f>
        <v>INV19532 19533</v>
      </c>
    </row>
    <row r="144" spans="1:17" x14ac:dyDescent="0.25">
      <c r="A144">
        <v>8003879954</v>
      </c>
      <c r="B144">
        <v>5</v>
      </c>
      <c r="C144">
        <v>25082017</v>
      </c>
      <c r="D144">
        <v>299</v>
      </c>
      <c r="E144" t="str">
        <f>"GST"</f>
        <v>GST</v>
      </c>
      <c r="F144">
        <v>9938</v>
      </c>
      <c r="G144" t="str">
        <f>"20137874"</f>
        <v>20137874</v>
      </c>
      <c r="H144" s="1">
        <v>0.01</v>
      </c>
      <c r="I144" t="s">
        <v>28</v>
      </c>
      <c r="J144" s="1">
        <v>572440.03</v>
      </c>
      <c r="K144" t="s">
        <v>26</v>
      </c>
      <c r="L144">
        <v>182354</v>
      </c>
      <c r="M144" t="str">
        <f>"PGTEFT2531          INV19532 19533"</f>
        <v>PGTEFT2531          INV19532 19533</v>
      </c>
      <c r="O144">
        <v>1</v>
      </c>
    </row>
    <row r="145" spans="1:17" x14ac:dyDescent="0.25">
      <c r="A145">
        <v>8003879954</v>
      </c>
      <c r="B145">
        <v>4</v>
      </c>
      <c r="C145">
        <v>25082017</v>
      </c>
      <c r="D145">
        <v>489</v>
      </c>
      <c r="E145" t="str">
        <f>"OTHER TRANSFER FEE"</f>
        <v>OTHER TRANSFER FEE</v>
      </c>
      <c r="F145">
        <v>9938</v>
      </c>
      <c r="G145" t="str">
        <f>"20137874"</f>
        <v>20137874</v>
      </c>
      <c r="H145" s="1">
        <v>0.1</v>
      </c>
      <c r="I145" t="s">
        <v>28</v>
      </c>
      <c r="J145" s="1">
        <v>572440.04</v>
      </c>
      <c r="K145" t="s">
        <v>26</v>
      </c>
      <c r="L145">
        <v>182354</v>
      </c>
      <c r="M145" t="str">
        <f>"PGTEFT2531          INV19532 19533"</f>
        <v>PGTEFT2531          INV19532 19533</v>
      </c>
      <c r="O145">
        <v>1</v>
      </c>
    </row>
    <row r="146" spans="1:17" x14ac:dyDescent="0.25">
      <c r="A146">
        <v>8003879954</v>
      </c>
      <c r="B146">
        <v>3</v>
      </c>
      <c r="C146">
        <v>25082017</v>
      </c>
      <c r="D146">
        <v>345</v>
      </c>
      <c r="E146" t="str">
        <f>"TR TO SAVINGS"</f>
        <v>TR TO SAVINGS</v>
      </c>
      <c r="F146">
        <v>9938</v>
      </c>
      <c r="G146" t="str">
        <f>"20137690"</f>
        <v>20137690</v>
      </c>
      <c r="H146" s="1">
        <v>3030.3</v>
      </c>
      <c r="I146" t="s">
        <v>28</v>
      </c>
      <c r="J146" s="1">
        <v>572440.14</v>
      </c>
      <c r="K146" t="s">
        <v>26</v>
      </c>
      <c r="L146">
        <v>182354</v>
      </c>
      <c r="M146" t="str">
        <f>"TW TRANSPORTATION OOI CHOK YAN"</f>
        <v>TW TRANSPORTATION OOI CHOK YAN</v>
      </c>
      <c r="O146">
        <v>1</v>
      </c>
      <c r="P146" t="str">
        <f>"PGTEFT2533"</f>
        <v>PGTEFT2533</v>
      </c>
      <c r="Q146" t="str">
        <f>"CLAIMS"</f>
        <v>CLAIMS</v>
      </c>
    </row>
    <row r="147" spans="1:17" x14ac:dyDescent="0.25">
      <c r="A147">
        <v>8003879954</v>
      </c>
      <c r="B147">
        <v>2</v>
      </c>
      <c r="C147">
        <v>25082017</v>
      </c>
      <c r="D147">
        <v>60</v>
      </c>
      <c r="E147" t="str">
        <f>"TR TO C/A"</f>
        <v>TR TO C/A</v>
      </c>
      <c r="F147">
        <v>9938</v>
      </c>
      <c r="G147" t="str">
        <f>"20138764"</f>
        <v>20138764</v>
      </c>
      <c r="H147" s="1">
        <v>3604</v>
      </c>
      <c r="I147" t="s">
        <v>28</v>
      </c>
      <c r="J147" s="1">
        <v>575470.43999999994</v>
      </c>
      <c r="K147" t="s">
        <v>26</v>
      </c>
      <c r="L147">
        <v>182354</v>
      </c>
      <c r="M147" t="str">
        <f>"ACC-OCT'16-JUL'17 CORPORATENET SDN BH"</f>
        <v>ACC-OCT'16-JUL'17 CORPORATENET SDN BH</v>
      </c>
      <c r="O147">
        <v>1</v>
      </c>
      <c r="P147" t="str">
        <f>"PGTEFT2553"</f>
        <v>PGTEFT2553</v>
      </c>
      <c r="Q147" t="str">
        <f>"CNET-17-2484"</f>
        <v>CNET-17-2484</v>
      </c>
    </row>
    <row r="148" spans="1:17" x14ac:dyDescent="0.25">
      <c r="A148">
        <v>8003879954</v>
      </c>
      <c r="B148">
        <v>1</v>
      </c>
      <c r="C148">
        <v>25082017</v>
      </c>
      <c r="D148">
        <v>60</v>
      </c>
      <c r="E148" t="str">
        <f>"TR TO C/A"</f>
        <v>TR TO C/A</v>
      </c>
      <c r="F148">
        <v>9938</v>
      </c>
      <c r="G148" t="str">
        <f>"20137411"</f>
        <v>20137411</v>
      </c>
      <c r="H148" s="1">
        <v>1590</v>
      </c>
      <c r="I148" t="s">
        <v>28</v>
      </c>
      <c r="J148" s="1">
        <v>579074.43999999994</v>
      </c>
      <c r="K148" t="s">
        <v>26</v>
      </c>
      <c r="L148">
        <v>182354</v>
      </c>
      <c r="M148" t="str">
        <f>"COURSE 22-23 AUG PENANG SKILLS DEVEL"</f>
        <v>COURSE 22-23 AUG PENANG SKILLS DEVEL</v>
      </c>
      <c r="O148">
        <v>1</v>
      </c>
      <c r="P148" t="str">
        <f>"PGTEFT2535"</f>
        <v>PGTEFT2535</v>
      </c>
      <c r="Q148" t="str">
        <f>"INV1729818"</f>
        <v>INV1729818</v>
      </c>
    </row>
    <row r="149" spans="1:17" x14ac:dyDescent="0.25">
      <c r="A149">
        <v>8003879954</v>
      </c>
      <c r="B149">
        <v>4</v>
      </c>
      <c r="C149">
        <v>22082017</v>
      </c>
      <c r="D149">
        <v>299</v>
      </c>
      <c r="E149" t="str">
        <f>"GST"</f>
        <v>GST</v>
      </c>
      <c r="H149" s="1">
        <v>0.03</v>
      </c>
      <c r="I149" t="s">
        <v>28</v>
      </c>
      <c r="J149" s="1">
        <v>580664.43999999994</v>
      </c>
      <c r="K149" t="s">
        <v>26</v>
      </c>
      <c r="L149">
        <v>12303</v>
      </c>
      <c r="M149" t="str">
        <f>""</f>
        <v/>
      </c>
      <c r="O149">
        <v>1</v>
      </c>
    </row>
    <row r="150" spans="1:17" x14ac:dyDescent="0.25">
      <c r="A150">
        <v>8003879954</v>
      </c>
      <c r="B150">
        <v>3</v>
      </c>
      <c r="C150">
        <v>22082017</v>
      </c>
      <c r="D150">
        <v>819</v>
      </c>
      <c r="E150" t="str">
        <f>"CHQ PROCESSING FEE"</f>
        <v>CHQ PROCESSING FEE</v>
      </c>
      <c r="H150" s="1">
        <v>0.5</v>
      </c>
      <c r="I150" t="s">
        <v>28</v>
      </c>
      <c r="J150" s="1">
        <v>580664.47</v>
      </c>
      <c r="K150" t="s">
        <v>26</v>
      </c>
      <c r="L150">
        <v>12303</v>
      </c>
      <c r="M150" t="str">
        <f>""</f>
        <v/>
      </c>
      <c r="O150">
        <v>1</v>
      </c>
    </row>
    <row r="151" spans="1:17" x14ac:dyDescent="0.25">
      <c r="A151">
        <v>8003879954</v>
      </c>
      <c r="B151">
        <v>2</v>
      </c>
      <c r="C151">
        <v>22082017</v>
      </c>
      <c r="D151">
        <v>323</v>
      </c>
      <c r="E151" t="str">
        <f>"CLRG CHQ DR"</f>
        <v>CLRG CHQ DR</v>
      </c>
      <c r="F151">
        <v>0</v>
      </c>
      <c r="G151" t="str">
        <f>"00688011"</f>
        <v>00688011</v>
      </c>
      <c r="H151" s="1">
        <v>1000000</v>
      </c>
      <c r="I151" t="s">
        <v>28</v>
      </c>
      <c r="J151" s="1">
        <v>580664.97</v>
      </c>
      <c r="K151" t="s">
        <v>26</v>
      </c>
      <c r="L151">
        <v>12142</v>
      </c>
      <c r="M151" t="str">
        <f>""</f>
        <v/>
      </c>
      <c r="O151">
        <v>1</v>
      </c>
    </row>
    <row r="152" spans="1:17" x14ac:dyDescent="0.25">
      <c r="A152">
        <v>8003879954</v>
      </c>
      <c r="B152">
        <v>1</v>
      </c>
      <c r="C152">
        <v>22082017</v>
      </c>
      <c r="D152">
        <v>123</v>
      </c>
      <c r="E152" t="str">
        <f>"2D LOCAL CHQ"</f>
        <v>2D LOCAL CHQ</v>
      </c>
      <c r="F152">
        <v>2007</v>
      </c>
      <c r="G152" t="str">
        <f>"94794327"</f>
        <v>94794327</v>
      </c>
      <c r="H152" s="1">
        <v>5000</v>
      </c>
      <c r="I152" t="s">
        <v>26</v>
      </c>
      <c r="J152" s="1">
        <v>1580664.97</v>
      </c>
      <c r="K152" t="s">
        <v>26</v>
      </c>
      <c r="L152">
        <v>220650</v>
      </c>
      <c r="M152" t="str">
        <f>""</f>
        <v/>
      </c>
      <c r="O152">
        <v>1</v>
      </c>
    </row>
    <row r="153" spans="1:17" x14ac:dyDescent="0.25">
      <c r="A153">
        <v>8003879954</v>
      </c>
      <c r="B153">
        <v>4</v>
      </c>
      <c r="C153">
        <v>18082017</v>
      </c>
      <c r="D153">
        <v>299</v>
      </c>
      <c r="E153" t="str">
        <f>"GST"</f>
        <v>GST</v>
      </c>
      <c r="H153" s="1">
        <v>0.03</v>
      </c>
      <c r="I153" t="s">
        <v>28</v>
      </c>
      <c r="J153" s="1">
        <v>1575664.97</v>
      </c>
      <c r="K153" t="s">
        <v>26</v>
      </c>
      <c r="L153">
        <v>33549</v>
      </c>
      <c r="M153" t="str">
        <f>""</f>
        <v/>
      </c>
      <c r="O153">
        <v>1</v>
      </c>
    </row>
    <row r="154" spans="1:17" x14ac:dyDescent="0.25">
      <c r="A154">
        <v>8003879954</v>
      </c>
      <c r="B154">
        <v>3</v>
      </c>
      <c r="C154">
        <v>18082017</v>
      </c>
      <c r="D154">
        <v>819</v>
      </c>
      <c r="E154" t="str">
        <f>"CHQ PROCESSING FEE"</f>
        <v>CHQ PROCESSING FEE</v>
      </c>
      <c r="H154" s="1">
        <v>0.5</v>
      </c>
      <c r="I154" t="s">
        <v>28</v>
      </c>
      <c r="J154" s="1">
        <v>1575665</v>
      </c>
      <c r="K154" t="s">
        <v>26</v>
      </c>
      <c r="L154">
        <v>33549</v>
      </c>
      <c r="M154" t="str">
        <f>""</f>
        <v/>
      </c>
      <c r="O154">
        <v>1</v>
      </c>
    </row>
    <row r="155" spans="1:17" x14ac:dyDescent="0.25">
      <c r="A155">
        <v>8003879954</v>
      </c>
      <c r="B155">
        <v>2</v>
      </c>
      <c r="C155">
        <v>18082017</v>
      </c>
      <c r="D155">
        <v>321</v>
      </c>
      <c r="E155" t="str">
        <f>"HOUSE CHQ DR"</f>
        <v>HOUSE CHQ DR</v>
      </c>
      <c r="F155">
        <v>0</v>
      </c>
      <c r="G155" t="str">
        <f>"00688012"</f>
        <v>00688012</v>
      </c>
      <c r="H155" s="1">
        <v>23540</v>
      </c>
      <c r="I155" t="s">
        <v>28</v>
      </c>
      <c r="J155" s="1">
        <v>1575665.5</v>
      </c>
      <c r="K155" t="s">
        <v>26</v>
      </c>
      <c r="L155">
        <v>33436</v>
      </c>
      <c r="M155" t="str">
        <f>""</f>
        <v/>
      </c>
      <c r="O155">
        <v>1</v>
      </c>
    </row>
    <row r="156" spans="1:17" x14ac:dyDescent="0.25">
      <c r="A156">
        <v>8003879954</v>
      </c>
      <c r="B156">
        <v>1</v>
      </c>
      <c r="C156">
        <v>18082017</v>
      </c>
      <c r="D156">
        <v>141</v>
      </c>
      <c r="E156" t="str">
        <f>"AUTOPAY CR"</f>
        <v>AUTOPAY CR</v>
      </c>
      <c r="F156">
        <v>2001</v>
      </c>
      <c r="G156" t="str">
        <f>"17003527"</f>
        <v>17003527</v>
      </c>
      <c r="H156" s="1">
        <v>500000</v>
      </c>
      <c r="I156" t="s">
        <v>26</v>
      </c>
      <c r="J156" s="1">
        <v>1599205.5</v>
      </c>
      <c r="K156" t="s">
        <v>26</v>
      </c>
      <c r="L156">
        <v>113405</v>
      </c>
      <c r="M156" t="str">
        <f>"PDC/PV17003527 DANA OPERASI FASA KE"</f>
        <v>PDC/PV17003527 DANA OPERASI FASA KE</v>
      </c>
      <c r="O156">
        <v>1</v>
      </c>
      <c r="P156" t="str">
        <f>"PDC/PV17003527 DANA"</f>
        <v>PDC/PV17003527 DANA</v>
      </c>
      <c r="Q156" t="str">
        <f>"Transfer from CIMB"</f>
        <v>Transfer from CIMB</v>
      </c>
    </row>
    <row r="157" spans="1:17" x14ac:dyDescent="0.25">
      <c r="A157">
        <v>8003879954</v>
      </c>
      <c r="B157">
        <v>3</v>
      </c>
      <c r="C157">
        <v>16082017</v>
      </c>
      <c r="D157">
        <v>299</v>
      </c>
      <c r="E157" t="str">
        <f>"GST"</f>
        <v>GST</v>
      </c>
      <c r="H157" s="1">
        <v>0.03</v>
      </c>
      <c r="I157" t="s">
        <v>28</v>
      </c>
      <c r="J157" s="1">
        <v>1099205.5</v>
      </c>
      <c r="K157" t="s">
        <v>26</v>
      </c>
      <c r="L157">
        <v>5715</v>
      </c>
      <c r="M157" t="str">
        <f>""</f>
        <v/>
      </c>
      <c r="O157">
        <v>1</v>
      </c>
    </row>
    <row r="158" spans="1:17" x14ac:dyDescent="0.25">
      <c r="A158">
        <v>8003879954</v>
      </c>
      <c r="B158">
        <v>2</v>
      </c>
      <c r="C158">
        <v>16082017</v>
      </c>
      <c r="D158">
        <v>819</v>
      </c>
      <c r="E158" t="str">
        <f>"CHQ PROCESSING FEE"</f>
        <v>CHQ PROCESSING FEE</v>
      </c>
      <c r="H158" s="1">
        <v>0.5</v>
      </c>
      <c r="I158" t="s">
        <v>28</v>
      </c>
      <c r="J158" s="1">
        <v>1099205.53</v>
      </c>
      <c r="K158" t="s">
        <v>26</v>
      </c>
      <c r="L158">
        <v>5715</v>
      </c>
      <c r="M158" t="str">
        <f>""</f>
        <v/>
      </c>
      <c r="O158">
        <v>1</v>
      </c>
    </row>
    <row r="159" spans="1:17" x14ac:dyDescent="0.25">
      <c r="A159">
        <v>8003879954</v>
      </c>
      <c r="B159">
        <v>1</v>
      </c>
      <c r="C159">
        <v>16082017</v>
      </c>
      <c r="D159">
        <v>323</v>
      </c>
      <c r="E159" t="str">
        <f>"CLRG CHQ DR"</f>
        <v>CLRG CHQ DR</v>
      </c>
      <c r="F159">
        <v>0</v>
      </c>
      <c r="G159" t="str">
        <f>"00688004"</f>
        <v>00688004</v>
      </c>
      <c r="H159" s="1">
        <v>170</v>
      </c>
      <c r="I159" t="s">
        <v>28</v>
      </c>
      <c r="J159" s="1">
        <v>1099206.03</v>
      </c>
      <c r="K159" t="s">
        <v>26</v>
      </c>
      <c r="L159">
        <v>5518</v>
      </c>
      <c r="M159" t="str">
        <f>""</f>
        <v/>
      </c>
      <c r="O159">
        <v>1</v>
      </c>
    </row>
    <row r="160" spans="1:17" x14ac:dyDescent="0.25">
      <c r="A160">
        <v>8003879954</v>
      </c>
      <c r="B160">
        <v>6</v>
      </c>
      <c r="C160">
        <v>15082017</v>
      </c>
      <c r="D160">
        <v>299</v>
      </c>
      <c r="E160" t="str">
        <f>"GST"</f>
        <v>GST</v>
      </c>
      <c r="H160" s="1">
        <v>0.03</v>
      </c>
      <c r="I160" t="s">
        <v>28</v>
      </c>
      <c r="J160" s="1">
        <v>1099376.03</v>
      </c>
      <c r="K160" t="s">
        <v>26</v>
      </c>
      <c r="L160">
        <v>5800</v>
      </c>
      <c r="M160" t="str">
        <f>""</f>
        <v/>
      </c>
      <c r="O160">
        <v>1</v>
      </c>
    </row>
    <row r="161" spans="1:18" x14ac:dyDescent="0.25">
      <c r="A161">
        <v>8003879954</v>
      </c>
      <c r="B161">
        <v>5</v>
      </c>
      <c r="C161">
        <v>15082017</v>
      </c>
      <c r="D161">
        <v>819</v>
      </c>
      <c r="E161" t="str">
        <f>"CHQ PROCESSING FEE"</f>
        <v>CHQ PROCESSING FEE</v>
      </c>
      <c r="H161" s="1">
        <v>0.5</v>
      </c>
      <c r="I161" t="s">
        <v>28</v>
      </c>
      <c r="J161" s="1">
        <v>1099376.06</v>
      </c>
      <c r="K161" t="s">
        <v>26</v>
      </c>
      <c r="L161">
        <v>5800</v>
      </c>
      <c r="M161" t="str">
        <f>""</f>
        <v/>
      </c>
      <c r="O161">
        <v>1</v>
      </c>
    </row>
    <row r="162" spans="1:18" x14ac:dyDescent="0.25">
      <c r="A162">
        <v>8003879954</v>
      </c>
      <c r="B162">
        <v>4</v>
      </c>
      <c r="C162">
        <v>15082017</v>
      </c>
      <c r="D162">
        <v>323</v>
      </c>
      <c r="E162" t="str">
        <f>"CLRG CHQ DR"</f>
        <v>CLRG CHQ DR</v>
      </c>
      <c r="F162">
        <v>0</v>
      </c>
      <c r="G162" t="str">
        <f>"00688010"</f>
        <v>00688010</v>
      </c>
      <c r="H162" s="1">
        <v>500000</v>
      </c>
      <c r="I162" t="s">
        <v>28</v>
      </c>
      <c r="J162" s="1">
        <v>1099376.56</v>
      </c>
      <c r="K162" t="s">
        <v>26</v>
      </c>
      <c r="L162">
        <v>5642</v>
      </c>
      <c r="M162" t="str">
        <f>""</f>
        <v/>
      </c>
      <c r="O162">
        <v>1</v>
      </c>
    </row>
    <row r="163" spans="1:18" x14ac:dyDescent="0.25">
      <c r="A163">
        <v>8003879954</v>
      </c>
      <c r="B163">
        <v>3</v>
      </c>
      <c r="C163">
        <v>15082017</v>
      </c>
      <c r="D163">
        <v>341</v>
      </c>
      <c r="E163" t="str">
        <f>"TR IBG"</f>
        <v>TR IBG</v>
      </c>
      <c r="F163">
        <v>9938</v>
      </c>
      <c r="G163" t="str">
        <f>"19792651"</f>
        <v>19792651</v>
      </c>
      <c r="H163" s="1">
        <v>742</v>
      </c>
      <c r="I163" t="s">
        <v>28</v>
      </c>
      <c r="J163" s="1">
        <v>1599376.56</v>
      </c>
      <c r="K163" t="s">
        <v>26</v>
      </c>
      <c r="L163">
        <v>214607</v>
      </c>
      <c r="M163" t="str">
        <f>"MALAYSIAN INSTITUTE"</f>
        <v>MALAYSIAN INSTITUTE</v>
      </c>
      <c r="O163">
        <v>1</v>
      </c>
      <c r="P163" t="str">
        <f>"PGTEFT2527"</f>
        <v>PGTEFT2527</v>
      </c>
      <c r="Q163" t="str">
        <f>"PAYMENT ADVICE"</f>
        <v>PAYMENT ADVICE</v>
      </c>
    </row>
    <row r="164" spans="1:18" x14ac:dyDescent="0.25">
      <c r="A164">
        <v>8003879954</v>
      </c>
      <c r="B164">
        <v>2</v>
      </c>
      <c r="C164">
        <v>15082017</v>
      </c>
      <c r="D164">
        <v>299</v>
      </c>
      <c r="E164" t="str">
        <f>"GST"</f>
        <v>GST</v>
      </c>
      <c r="F164">
        <v>9938</v>
      </c>
      <c r="G164" t="str">
        <f>"19792651"</f>
        <v>19792651</v>
      </c>
      <c r="H164" s="1">
        <v>0.01</v>
      </c>
      <c r="I164" t="s">
        <v>28</v>
      </c>
      <c r="J164" s="1">
        <v>1600118.56</v>
      </c>
      <c r="K164" t="s">
        <v>26</v>
      </c>
      <c r="L164">
        <v>214607</v>
      </c>
      <c r="M164" t="str">
        <f>"PGTEFT2527          PAYMENT ADVICE"</f>
        <v>PGTEFT2527          PAYMENT ADVICE</v>
      </c>
      <c r="O164">
        <v>1</v>
      </c>
    </row>
    <row r="165" spans="1:18" x14ac:dyDescent="0.25">
      <c r="A165">
        <v>8003879954</v>
      </c>
      <c r="B165">
        <v>1</v>
      </c>
      <c r="C165">
        <v>15082017</v>
      </c>
      <c r="D165">
        <v>489</v>
      </c>
      <c r="E165" t="str">
        <f>"OTHER TRANSFER FEE"</f>
        <v>OTHER TRANSFER FEE</v>
      </c>
      <c r="F165">
        <v>9938</v>
      </c>
      <c r="G165" t="str">
        <f>"19792651"</f>
        <v>19792651</v>
      </c>
      <c r="H165" s="1">
        <v>0.1</v>
      </c>
      <c r="I165" t="s">
        <v>28</v>
      </c>
      <c r="J165" s="1">
        <v>1600118.57</v>
      </c>
      <c r="K165" t="s">
        <v>26</v>
      </c>
      <c r="L165">
        <v>214607</v>
      </c>
      <c r="M165" t="str">
        <f>"PGTEFT2527          PAYMENT ADVICE"</f>
        <v>PGTEFT2527          PAYMENT ADVICE</v>
      </c>
      <c r="O165">
        <v>1</v>
      </c>
    </row>
    <row r="166" spans="1:18" x14ac:dyDescent="0.25">
      <c r="A166">
        <v>8003879954</v>
      </c>
      <c r="B166">
        <v>4</v>
      </c>
      <c r="C166">
        <v>11082017</v>
      </c>
      <c r="D166">
        <v>299</v>
      </c>
      <c r="E166" t="s">
        <v>30</v>
      </c>
      <c r="H166" s="1">
        <v>0.03</v>
      </c>
      <c r="I166" t="s">
        <v>28</v>
      </c>
      <c r="J166" s="1">
        <v>1600118.67</v>
      </c>
      <c r="K166" t="s">
        <v>26</v>
      </c>
      <c r="L166">
        <v>5435</v>
      </c>
      <c r="M166" t="s">
        <v>53</v>
      </c>
      <c r="O166">
        <v>1</v>
      </c>
    </row>
    <row r="167" spans="1:18" x14ac:dyDescent="0.25">
      <c r="A167">
        <v>8003879954</v>
      </c>
      <c r="B167">
        <v>3</v>
      </c>
      <c r="C167">
        <v>11082017</v>
      </c>
      <c r="D167">
        <v>819</v>
      </c>
      <c r="E167" t="s">
        <v>32</v>
      </c>
      <c r="H167" s="1">
        <v>0.5</v>
      </c>
      <c r="I167" t="s">
        <v>28</v>
      </c>
      <c r="J167" s="1">
        <v>1600118.7</v>
      </c>
      <c r="K167" t="s">
        <v>26</v>
      </c>
      <c r="L167">
        <v>5435</v>
      </c>
      <c r="M167" t="s">
        <v>53</v>
      </c>
      <c r="O167">
        <v>1</v>
      </c>
    </row>
    <row r="168" spans="1:18" x14ac:dyDescent="0.25">
      <c r="A168">
        <v>8003879954</v>
      </c>
      <c r="B168">
        <v>2</v>
      </c>
      <c r="C168">
        <v>11082017</v>
      </c>
      <c r="D168">
        <v>323</v>
      </c>
      <c r="E168" t="s">
        <v>33</v>
      </c>
      <c r="F168">
        <v>0</v>
      </c>
      <c r="G168" t="s">
        <v>675</v>
      </c>
      <c r="H168" s="1">
        <v>1616</v>
      </c>
      <c r="I168" t="s">
        <v>28</v>
      </c>
      <c r="J168" s="1">
        <v>1600119.2</v>
      </c>
      <c r="K168" t="s">
        <v>26</v>
      </c>
      <c r="L168">
        <v>5324</v>
      </c>
      <c r="M168" t="s">
        <v>53</v>
      </c>
      <c r="O168">
        <v>1</v>
      </c>
    </row>
    <row r="169" spans="1:18" x14ac:dyDescent="0.25">
      <c r="A169">
        <v>8003879954</v>
      </c>
      <c r="B169">
        <v>1</v>
      </c>
      <c r="C169">
        <v>11082017</v>
      </c>
      <c r="D169">
        <v>174</v>
      </c>
      <c r="E169" t="s">
        <v>39</v>
      </c>
      <c r="F169">
        <v>2001</v>
      </c>
      <c r="G169" t="s">
        <v>676</v>
      </c>
      <c r="H169" s="1">
        <v>10500</v>
      </c>
      <c r="I169" t="s">
        <v>26</v>
      </c>
      <c r="J169" s="1">
        <v>1601735.2</v>
      </c>
      <c r="K169" t="s">
        <v>26</v>
      </c>
      <c r="L169">
        <v>121258</v>
      </c>
      <c r="M169" t="s">
        <v>677</v>
      </c>
      <c r="O169">
        <v>1</v>
      </c>
      <c r="P169" t="s">
        <v>677</v>
      </c>
      <c r="Q169" t="s">
        <v>678</v>
      </c>
      <c r="R169" t="s">
        <v>679</v>
      </c>
    </row>
    <row r="170" spans="1:18" x14ac:dyDescent="0.25">
      <c r="A170">
        <v>8003879954</v>
      </c>
      <c r="B170">
        <v>83</v>
      </c>
      <c r="C170">
        <v>10082017</v>
      </c>
      <c r="D170">
        <v>299</v>
      </c>
      <c r="E170" t="s">
        <v>30</v>
      </c>
      <c r="H170" s="1">
        <v>0.03</v>
      </c>
      <c r="I170" t="s">
        <v>28</v>
      </c>
      <c r="J170" s="1">
        <v>1591235.2</v>
      </c>
      <c r="K170" t="s">
        <v>26</v>
      </c>
      <c r="L170">
        <v>10000</v>
      </c>
      <c r="M170" t="s">
        <v>53</v>
      </c>
      <c r="O170">
        <v>1</v>
      </c>
    </row>
    <row r="171" spans="1:18" x14ac:dyDescent="0.25">
      <c r="A171">
        <v>8003879954</v>
      </c>
      <c r="B171">
        <v>82</v>
      </c>
      <c r="C171">
        <v>10082017</v>
      </c>
      <c r="D171">
        <v>819</v>
      </c>
      <c r="E171" t="s">
        <v>32</v>
      </c>
      <c r="H171" s="1">
        <v>0.5</v>
      </c>
      <c r="I171" t="s">
        <v>28</v>
      </c>
      <c r="J171" s="1">
        <v>1591235.23</v>
      </c>
      <c r="K171" t="s">
        <v>26</v>
      </c>
      <c r="L171">
        <v>10000</v>
      </c>
      <c r="M171" t="s">
        <v>53</v>
      </c>
      <c r="O171">
        <v>1</v>
      </c>
    </row>
    <row r="172" spans="1:18" x14ac:dyDescent="0.25">
      <c r="A172">
        <v>8003879954</v>
      </c>
      <c r="B172">
        <v>81</v>
      </c>
      <c r="C172">
        <v>10082017</v>
      </c>
      <c r="D172">
        <v>299</v>
      </c>
      <c r="E172" t="s">
        <v>30</v>
      </c>
      <c r="H172" s="1">
        <v>0.09</v>
      </c>
      <c r="I172" t="s">
        <v>28</v>
      </c>
      <c r="J172" s="1">
        <v>1591235.73</v>
      </c>
      <c r="K172" t="s">
        <v>26</v>
      </c>
      <c r="L172">
        <v>10000</v>
      </c>
      <c r="M172" t="s">
        <v>53</v>
      </c>
      <c r="O172">
        <v>1</v>
      </c>
    </row>
    <row r="173" spans="1:18" x14ac:dyDescent="0.25">
      <c r="A173">
        <v>8003879954</v>
      </c>
      <c r="B173">
        <v>80</v>
      </c>
      <c r="C173">
        <v>10082017</v>
      </c>
      <c r="D173">
        <v>819</v>
      </c>
      <c r="E173" t="s">
        <v>32</v>
      </c>
      <c r="H173" s="1">
        <v>1.5</v>
      </c>
      <c r="I173" t="s">
        <v>28</v>
      </c>
      <c r="J173" s="1">
        <v>1591235.82</v>
      </c>
      <c r="K173" t="s">
        <v>26</v>
      </c>
      <c r="L173">
        <v>10000</v>
      </c>
      <c r="M173" t="s">
        <v>53</v>
      </c>
      <c r="O173">
        <v>1</v>
      </c>
    </row>
    <row r="174" spans="1:18" x14ac:dyDescent="0.25">
      <c r="A174">
        <v>8003879954</v>
      </c>
      <c r="B174">
        <v>79</v>
      </c>
      <c r="C174">
        <v>10082017</v>
      </c>
      <c r="D174">
        <v>323</v>
      </c>
      <c r="E174" t="s">
        <v>33</v>
      </c>
      <c r="F174">
        <v>0</v>
      </c>
      <c r="G174" t="s">
        <v>680</v>
      </c>
      <c r="H174" s="1">
        <v>56985.599999999999</v>
      </c>
      <c r="I174" t="s">
        <v>28</v>
      </c>
      <c r="J174" s="1">
        <v>1591237.32</v>
      </c>
      <c r="K174" t="s">
        <v>26</v>
      </c>
      <c r="L174">
        <v>5719</v>
      </c>
      <c r="M174" t="s">
        <v>53</v>
      </c>
      <c r="O174">
        <v>1</v>
      </c>
    </row>
    <row r="175" spans="1:18" x14ac:dyDescent="0.25">
      <c r="A175">
        <v>8003879954</v>
      </c>
      <c r="B175">
        <v>78</v>
      </c>
      <c r="C175">
        <v>10082017</v>
      </c>
      <c r="D175">
        <v>323</v>
      </c>
      <c r="E175" t="s">
        <v>33</v>
      </c>
      <c r="F175">
        <v>0</v>
      </c>
      <c r="G175" t="s">
        <v>681</v>
      </c>
      <c r="H175" s="1">
        <v>450000</v>
      </c>
      <c r="I175" t="s">
        <v>28</v>
      </c>
      <c r="J175" s="1">
        <v>1648222.92</v>
      </c>
      <c r="K175" t="s">
        <v>26</v>
      </c>
      <c r="L175">
        <v>5719</v>
      </c>
      <c r="M175" t="s">
        <v>53</v>
      </c>
      <c r="O175">
        <v>1</v>
      </c>
    </row>
    <row r="176" spans="1:18" x14ac:dyDescent="0.25">
      <c r="A176">
        <v>8003879954</v>
      </c>
      <c r="B176">
        <v>77</v>
      </c>
      <c r="C176">
        <v>10082017</v>
      </c>
      <c r="D176">
        <v>323</v>
      </c>
      <c r="E176" t="s">
        <v>33</v>
      </c>
      <c r="F176">
        <v>0</v>
      </c>
      <c r="G176" t="s">
        <v>682</v>
      </c>
      <c r="H176" s="1">
        <v>235871.15</v>
      </c>
      <c r="I176" t="s">
        <v>28</v>
      </c>
      <c r="J176" s="1">
        <v>2098222.92</v>
      </c>
      <c r="K176" t="s">
        <v>26</v>
      </c>
      <c r="L176">
        <v>5719</v>
      </c>
      <c r="M176" t="s">
        <v>53</v>
      </c>
      <c r="O176">
        <v>1</v>
      </c>
    </row>
    <row r="177" spans="1:17" x14ac:dyDescent="0.25">
      <c r="A177">
        <v>8003879954</v>
      </c>
      <c r="B177">
        <v>76</v>
      </c>
      <c r="C177">
        <v>10082017</v>
      </c>
      <c r="D177">
        <v>321</v>
      </c>
      <c r="E177" t="s">
        <v>37</v>
      </c>
      <c r="F177">
        <v>0</v>
      </c>
      <c r="G177" t="s">
        <v>683</v>
      </c>
      <c r="H177" s="1">
        <v>119452.96</v>
      </c>
      <c r="I177" t="s">
        <v>28</v>
      </c>
      <c r="J177" s="1">
        <v>2334094.0699999998</v>
      </c>
      <c r="K177" t="s">
        <v>26</v>
      </c>
      <c r="L177">
        <v>5719</v>
      </c>
      <c r="M177" t="s">
        <v>53</v>
      </c>
      <c r="O177">
        <v>1</v>
      </c>
    </row>
    <row r="178" spans="1:17" x14ac:dyDescent="0.25">
      <c r="A178">
        <v>8003879954</v>
      </c>
      <c r="B178">
        <v>75</v>
      </c>
      <c r="C178">
        <v>10082017</v>
      </c>
      <c r="D178">
        <v>343</v>
      </c>
      <c r="E178" t="s">
        <v>49</v>
      </c>
      <c r="F178">
        <v>9938</v>
      </c>
      <c r="G178" t="s">
        <v>684</v>
      </c>
      <c r="H178" s="1">
        <v>799.5</v>
      </c>
      <c r="I178" t="s">
        <v>28</v>
      </c>
      <c r="J178" s="1">
        <v>2453547.0299999998</v>
      </c>
      <c r="K178" t="s">
        <v>26</v>
      </c>
      <c r="L178">
        <v>181240</v>
      </c>
      <c r="M178" t="s">
        <v>444</v>
      </c>
      <c r="O178">
        <v>1</v>
      </c>
    </row>
    <row r="179" spans="1:17" x14ac:dyDescent="0.25">
      <c r="A179">
        <v>8003879954</v>
      </c>
      <c r="B179">
        <v>74</v>
      </c>
      <c r="C179">
        <v>10082017</v>
      </c>
      <c r="D179">
        <v>343</v>
      </c>
      <c r="E179" t="s">
        <v>49</v>
      </c>
      <c r="F179">
        <v>9938</v>
      </c>
      <c r="G179" t="s">
        <v>685</v>
      </c>
      <c r="H179" s="1">
        <v>5</v>
      </c>
      <c r="I179" t="s">
        <v>28</v>
      </c>
      <c r="J179" s="1">
        <v>2454346.5299999998</v>
      </c>
      <c r="K179" t="s">
        <v>26</v>
      </c>
      <c r="L179">
        <v>181239</v>
      </c>
      <c r="M179" t="s">
        <v>408</v>
      </c>
      <c r="O179">
        <v>1</v>
      </c>
    </row>
    <row r="180" spans="1:17" x14ac:dyDescent="0.25">
      <c r="A180">
        <v>8003879954</v>
      </c>
      <c r="B180">
        <v>73</v>
      </c>
      <c r="C180">
        <v>10082017</v>
      </c>
      <c r="D180">
        <v>60</v>
      </c>
      <c r="E180" t="s">
        <v>43</v>
      </c>
      <c r="F180">
        <v>9938</v>
      </c>
      <c r="G180" t="s">
        <v>686</v>
      </c>
      <c r="H180" s="1">
        <v>360</v>
      </c>
      <c r="I180" t="s">
        <v>28</v>
      </c>
      <c r="J180" s="1">
        <v>2454351.5299999998</v>
      </c>
      <c r="K180" t="s">
        <v>26</v>
      </c>
      <c r="L180">
        <v>181238</v>
      </c>
      <c r="M180" t="s">
        <v>687</v>
      </c>
      <c r="O180">
        <v>1</v>
      </c>
      <c r="P180" t="s">
        <v>688</v>
      </c>
      <c r="Q180" t="s">
        <v>689</v>
      </c>
    </row>
    <row r="181" spans="1:17" x14ac:dyDescent="0.25">
      <c r="A181">
        <v>8003879954</v>
      </c>
      <c r="B181">
        <v>72</v>
      </c>
      <c r="C181">
        <v>10082017</v>
      </c>
      <c r="D181">
        <v>341</v>
      </c>
      <c r="E181" t="s">
        <v>29</v>
      </c>
      <c r="F181">
        <v>9938</v>
      </c>
      <c r="G181" t="s">
        <v>690</v>
      </c>
      <c r="H181" s="1">
        <v>3286</v>
      </c>
      <c r="I181" t="s">
        <v>28</v>
      </c>
      <c r="J181" s="1">
        <v>2454711.5299999998</v>
      </c>
      <c r="K181" t="s">
        <v>26</v>
      </c>
      <c r="L181">
        <v>181238</v>
      </c>
      <c r="M181" t="s">
        <v>75</v>
      </c>
      <c r="O181">
        <v>1</v>
      </c>
      <c r="P181" t="s">
        <v>691</v>
      </c>
      <c r="Q181" t="s">
        <v>692</v>
      </c>
    </row>
    <row r="182" spans="1:17" x14ac:dyDescent="0.25">
      <c r="A182">
        <v>8003879954</v>
      </c>
      <c r="B182">
        <v>71</v>
      </c>
      <c r="C182">
        <v>10082017</v>
      </c>
      <c r="D182">
        <v>299</v>
      </c>
      <c r="E182" t="s">
        <v>30</v>
      </c>
      <c r="F182">
        <v>9938</v>
      </c>
      <c r="G182" t="s">
        <v>690</v>
      </c>
      <c r="H182" s="1">
        <v>0.01</v>
      </c>
      <c r="I182" t="s">
        <v>28</v>
      </c>
      <c r="J182" s="1">
        <v>2457997.5299999998</v>
      </c>
      <c r="K182" t="s">
        <v>26</v>
      </c>
      <c r="L182">
        <v>181238</v>
      </c>
      <c r="M182" t="s">
        <v>693</v>
      </c>
      <c r="O182">
        <v>1</v>
      </c>
    </row>
    <row r="183" spans="1:17" x14ac:dyDescent="0.25">
      <c r="A183">
        <v>8003879954</v>
      </c>
      <c r="B183">
        <v>70</v>
      </c>
      <c r="C183">
        <v>10082017</v>
      </c>
      <c r="D183">
        <v>489</v>
      </c>
      <c r="E183" t="s">
        <v>31</v>
      </c>
      <c r="F183">
        <v>9938</v>
      </c>
      <c r="G183" t="s">
        <v>690</v>
      </c>
      <c r="H183" s="1">
        <v>0.1</v>
      </c>
      <c r="I183" t="s">
        <v>28</v>
      </c>
      <c r="J183" s="1">
        <v>2457997.54</v>
      </c>
      <c r="K183" t="s">
        <v>26</v>
      </c>
      <c r="L183">
        <v>181238</v>
      </c>
      <c r="M183" t="s">
        <v>693</v>
      </c>
      <c r="O183">
        <v>1</v>
      </c>
    </row>
    <row r="184" spans="1:17" x14ac:dyDescent="0.25">
      <c r="A184">
        <v>8003879954</v>
      </c>
      <c r="B184">
        <v>69</v>
      </c>
      <c r="C184">
        <v>10082017</v>
      </c>
      <c r="D184">
        <v>341</v>
      </c>
      <c r="E184" t="s">
        <v>29</v>
      </c>
      <c r="F184">
        <v>9938</v>
      </c>
      <c r="G184" t="s">
        <v>694</v>
      </c>
      <c r="H184" s="1">
        <v>207.8</v>
      </c>
      <c r="I184" t="s">
        <v>28</v>
      </c>
      <c r="J184" s="1">
        <v>2457997.64</v>
      </c>
      <c r="K184" t="s">
        <v>26</v>
      </c>
      <c r="L184">
        <v>181236</v>
      </c>
      <c r="M184" t="s">
        <v>695</v>
      </c>
      <c r="O184">
        <v>1</v>
      </c>
      <c r="P184" t="s">
        <v>696</v>
      </c>
      <c r="Q184" t="s">
        <v>697</v>
      </c>
    </row>
    <row r="185" spans="1:17" x14ac:dyDescent="0.25">
      <c r="A185">
        <v>8003879954</v>
      </c>
      <c r="B185">
        <v>68</v>
      </c>
      <c r="C185">
        <v>10082017</v>
      </c>
      <c r="D185">
        <v>299</v>
      </c>
      <c r="E185" t="s">
        <v>30</v>
      </c>
      <c r="F185">
        <v>9938</v>
      </c>
      <c r="G185" t="s">
        <v>694</v>
      </c>
      <c r="H185" s="1">
        <v>0.01</v>
      </c>
      <c r="I185" t="s">
        <v>28</v>
      </c>
      <c r="J185" s="1">
        <v>2458205.44</v>
      </c>
      <c r="K185" t="s">
        <v>26</v>
      </c>
      <c r="L185">
        <v>181236</v>
      </c>
      <c r="M185" t="s">
        <v>698</v>
      </c>
      <c r="O185">
        <v>1</v>
      </c>
    </row>
    <row r="186" spans="1:17" x14ac:dyDescent="0.25">
      <c r="A186">
        <v>8003879954</v>
      </c>
      <c r="B186">
        <v>67</v>
      </c>
      <c r="C186">
        <v>10082017</v>
      </c>
      <c r="D186">
        <v>489</v>
      </c>
      <c r="E186" t="s">
        <v>31</v>
      </c>
      <c r="F186">
        <v>9938</v>
      </c>
      <c r="G186" t="s">
        <v>694</v>
      </c>
      <c r="H186" s="1">
        <v>0.1</v>
      </c>
      <c r="I186" t="s">
        <v>28</v>
      </c>
      <c r="J186" s="1">
        <v>2458205.4500000002</v>
      </c>
      <c r="K186" t="s">
        <v>26</v>
      </c>
      <c r="L186">
        <v>181236</v>
      </c>
      <c r="M186" t="s">
        <v>698</v>
      </c>
      <c r="O186">
        <v>1</v>
      </c>
    </row>
    <row r="187" spans="1:17" x14ac:dyDescent="0.25">
      <c r="A187">
        <v>8003879954</v>
      </c>
      <c r="B187">
        <v>66</v>
      </c>
      <c r="C187">
        <v>10082017</v>
      </c>
      <c r="D187">
        <v>343</v>
      </c>
      <c r="E187" t="s">
        <v>49</v>
      </c>
      <c r="F187">
        <v>9938</v>
      </c>
      <c r="G187" t="s">
        <v>699</v>
      </c>
      <c r="H187" s="1">
        <v>17.149999999999999</v>
      </c>
      <c r="I187" t="s">
        <v>28</v>
      </c>
      <c r="J187" s="1">
        <v>2458205.5499999998</v>
      </c>
      <c r="K187" t="s">
        <v>26</v>
      </c>
      <c r="L187">
        <v>181236</v>
      </c>
      <c r="M187" t="s">
        <v>150</v>
      </c>
      <c r="O187">
        <v>1</v>
      </c>
    </row>
    <row r="188" spans="1:17" x14ac:dyDescent="0.25">
      <c r="A188">
        <v>8003879954</v>
      </c>
      <c r="B188">
        <v>65</v>
      </c>
      <c r="C188">
        <v>10082017</v>
      </c>
      <c r="D188">
        <v>343</v>
      </c>
      <c r="E188" t="s">
        <v>49</v>
      </c>
      <c r="F188">
        <v>9938</v>
      </c>
      <c r="G188" t="s">
        <v>700</v>
      </c>
      <c r="H188" s="1">
        <v>1606.95</v>
      </c>
      <c r="I188" t="s">
        <v>28</v>
      </c>
      <c r="J188" s="1">
        <v>2458222.7000000002</v>
      </c>
      <c r="K188" t="s">
        <v>26</v>
      </c>
      <c r="L188">
        <v>181236</v>
      </c>
      <c r="M188" t="s">
        <v>152</v>
      </c>
      <c r="O188">
        <v>1</v>
      </c>
    </row>
    <row r="189" spans="1:17" x14ac:dyDescent="0.25">
      <c r="A189">
        <v>8003879954</v>
      </c>
      <c r="B189">
        <v>64</v>
      </c>
      <c r="C189">
        <v>10082017</v>
      </c>
      <c r="D189">
        <v>341</v>
      </c>
      <c r="E189" t="s">
        <v>29</v>
      </c>
      <c r="F189">
        <v>9938</v>
      </c>
      <c r="G189" t="s">
        <v>701</v>
      </c>
      <c r="H189" s="1">
        <v>197.4</v>
      </c>
      <c r="I189" t="s">
        <v>28</v>
      </c>
      <c r="J189" s="1">
        <v>2459829.65</v>
      </c>
      <c r="K189" t="s">
        <v>26</v>
      </c>
      <c r="L189">
        <v>181235</v>
      </c>
      <c r="M189" t="s">
        <v>702</v>
      </c>
      <c r="O189">
        <v>1</v>
      </c>
      <c r="P189" t="s">
        <v>703</v>
      </c>
      <c r="Q189" t="s">
        <v>704</v>
      </c>
    </row>
    <row r="190" spans="1:17" x14ac:dyDescent="0.25">
      <c r="A190">
        <v>8003879954</v>
      </c>
      <c r="B190">
        <v>63</v>
      </c>
      <c r="C190">
        <v>10082017</v>
      </c>
      <c r="D190">
        <v>299</v>
      </c>
      <c r="E190" t="s">
        <v>30</v>
      </c>
      <c r="F190">
        <v>9938</v>
      </c>
      <c r="G190" t="s">
        <v>701</v>
      </c>
      <c r="H190" s="1">
        <v>0.01</v>
      </c>
      <c r="I190" t="s">
        <v>28</v>
      </c>
      <c r="J190" s="1">
        <v>2460027.0499999998</v>
      </c>
      <c r="K190" t="s">
        <v>26</v>
      </c>
      <c r="L190">
        <v>181235</v>
      </c>
      <c r="M190" t="s">
        <v>705</v>
      </c>
      <c r="O190">
        <v>1</v>
      </c>
    </row>
    <row r="191" spans="1:17" x14ac:dyDescent="0.25">
      <c r="A191">
        <v>8003879954</v>
      </c>
      <c r="B191">
        <v>62</v>
      </c>
      <c r="C191">
        <v>10082017</v>
      </c>
      <c r="D191">
        <v>489</v>
      </c>
      <c r="E191" t="s">
        <v>31</v>
      </c>
      <c r="F191">
        <v>9938</v>
      </c>
      <c r="G191" t="s">
        <v>701</v>
      </c>
      <c r="H191" s="1">
        <v>0.1</v>
      </c>
      <c r="I191" t="s">
        <v>28</v>
      </c>
      <c r="J191" s="1">
        <v>2460027.06</v>
      </c>
      <c r="K191" t="s">
        <v>26</v>
      </c>
      <c r="L191">
        <v>181235</v>
      </c>
      <c r="M191" t="s">
        <v>705</v>
      </c>
      <c r="O191">
        <v>1</v>
      </c>
    </row>
    <row r="192" spans="1:17" x14ac:dyDescent="0.25">
      <c r="A192">
        <v>8003879954</v>
      </c>
      <c r="B192">
        <v>61</v>
      </c>
      <c r="C192">
        <v>10082017</v>
      </c>
      <c r="D192">
        <v>341</v>
      </c>
      <c r="E192" t="s">
        <v>29</v>
      </c>
      <c r="F192">
        <v>9938</v>
      </c>
      <c r="G192" t="s">
        <v>706</v>
      </c>
      <c r="H192" s="1">
        <v>304.38</v>
      </c>
      <c r="I192" t="s">
        <v>28</v>
      </c>
      <c r="J192" s="1">
        <v>2460027.16</v>
      </c>
      <c r="K192" t="s">
        <v>26</v>
      </c>
      <c r="L192">
        <v>181235</v>
      </c>
      <c r="M192" t="s">
        <v>87</v>
      </c>
      <c r="O192">
        <v>1</v>
      </c>
      <c r="P192" t="s">
        <v>707</v>
      </c>
      <c r="Q192" t="s">
        <v>708</v>
      </c>
    </row>
    <row r="193" spans="1:17" x14ac:dyDescent="0.25">
      <c r="A193">
        <v>8003879954</v>
      </c>
      <c r="B193">
        <v>60</v>
      </c>
      <c r="C193">
        <v>10082017</v>
      </c>
      <c r="D193">
        <v>299</v>
      </c>
      <c r="E193" t="s">
        <v>30</v>
      </c>
      <c r="F193">
        <v>9938</v>
      </c>
      <c r="G193" t="s">
        <v>706</v>
      </c>
      <c r="H193" s="1">
        <v>0.01</v>
      </c>
      <c r="I193" t="s">
        <v>28</v>
      </c>
      <c r="J193" s="1">
        <v>2460331.54</v>
      </c>
      <c r="K193" t="s">
        <v>26</v>
      </c>
      <c r="L193">
        <v>181235</v>
      </c>
      <c r="M193" t="s">
        <v>709</v>
      </c>
      <c r="O193">
        <v>1</v>
      </c>
    </row>
    <row r="194" spans="1:17" x14ac:dyDescent="0.25">
      <c r="A194">
        <v>8003879954</v>
      </c>
      <c r="B194">
        <v>59</v>
      </c>
      <c r="C194">
        <v>10082017</v>
      </c>
      <c r="D194">
        <v>489</v>
      </c>
      <c r="E194" t="s">
        <v>31</v>
      </c>
      <c r="F194">
        <v>9938</v>
      </c>
      <c r="G194" t="s">
        <v>706</v>
      </c>
      <c r="H194" s="1">
        <v>0.1</v>
      </c>
      <c r="I194" t="s">
        <v>28</v>
      </c>
      <c r="J194" s="1">
        <v>2460331.5499999998</v>
      </c>
      <c r="K194" t="s">
        <v>26</v>
      </c>
      <c r="L194">
        <v>181235</v>
      </c>
      <c r="M194" t="s">
        <v>709</v>
      </c>
      <c r="O194">
        <v>1</v>
      </c>
    </row>
    <row r="195" spans="1:17" x14ac:dyDescent="0.25">
      <c r="A195">
        <v>8003879954</v>
      </c>
      <c r="B195">
        <v>58</v>
      </c>
      <c r="C195">
        <v>10082017</v>
      </c>
      <c r="D195">
        <v>341</v>
      </c>
      <c r="E195" t="s">
        <v>29</v>
      </c>
      <c r="F195">
        <v>9938</v>
      </c>
      <c r="G195" t="s">
        <v>710</v>
      </c>
      <c r="H195" s="1">
        <v>645.54999999999995</v>
      </c>
      <c r="I195" t="s">
        <v>28</v>
      </c>
      <c r="J195" s="1">
        <v>2460331.65</v>
      </c>
      <c r="K195" t="s">
        <v>26</v>
      </c>
      <c r="L195">
        <v>181235</v>
      </c>
      <c r="M195" t="s">
        <v>456</v>
      </c>
      <c r="O195">
        <v>1</v>
      </c>
      <c r="P195" t="s">
        <v>711</v>
      </c>
      <c r="Q195" t="s">
        <v>712</v>
      </c>
    </row>
    <row r="196" spans="1:17" x14ac:dyDescent="0.25">
      <c r="A196">
        <v>8003879954</v>
      </c>
      <c r="B196">
        <v>57</v>
      </c>
      <c r="C196">
        <v>10082017</v>
      </c>
      <c r="D196">
        <v>299</v>
      </c>
      <c r="E196" t="s">
        <v>30</v>
      </c>
      <c r="F196">
        <v>9938</v>
      </c>
      <c r="G196" t="s">
        <v>710</v>
      </c>
      <c r="H196" s="1">
        <v>0.01</v>
      </c>
      <c r="I196" t="s">
        <v>28</v>
      </c>
      <c r="J196" s="1">
        <v>2460977.2000000002</v>
      </c>
      <c r="K196" t="s">
        <v>26</v>
      </c>
      <c r="L196">
        <v>181235</v>
      </c>
      <c r="M196" t="s">
        <v>713</v>
      </c>
      <c r="O196">
        <v>1</v>
      </c>
    </row>
    <row r="197" spans="1:17" x14ac:dyDescent="0.25">
      <c r="A197">
        <v>8003879954</v>
      </c>
      <c r="B197">
        <v>56</v>
      </c>
      <c r="C197">
        <v>10082017</v>
      </c>
      <c r="D197">
        <v>489</v>
      </c>
      <c r="E197" t="s">
        <v>31</v>
      </c>
      <c r="F197">
        <v>9938</v>
      </c>
      <c r="G197" t="s">
        <v>710</v>
      </c>
      <c r="H197" s="1">
        <v>0.1</v>
      </c>
      <c r="I197" t="s">
        <v>28</v>
      </c>
      <c r="J197" s="1">
        <v>2460977.21</v>
      </c>
      <c r="K197" t="s">
        <v>26</v>
      </c>
      <c r="L197">
        <v>181235</v>
      </c>
      <c r="M197" t="s">
        <v>713</v>
      </c>
      <c r="O197">
        <v>1</v>
      </c>
    </row>
    <row r="198" spans="1:17" x14ac:dyDescent="0.25">
      <c r="A198">
        <v>8003879954</v>
      </c>
      <c r="B198">
        <v>55</v>
      </c>
      <c r="C198">
        <v>10082017</v>
      </c>
      <c r="D198">
        <v>341</v>
      </c>
      <c r="E198" t="s">
        <v>29</v>
      </c>
      <c r="F198">
        <v>9938</v>
      </c>
      <c r="G198" t="s">
        <v>714</v>
      </c>
      <c r="H198" s="1">
        <v>76.319999999999993</v>
      </c>
      <c r="I198" t="s">
        <v>28</v>
      </c>
      <c r="J198" s="1">
        <v>2460977.31</v>
      </c>
      <c r="K198" t="s">
        <v>26</v>
      </c>
      <c r="L198">
        <v>180843</v>
      </c>
      <c r="M198" t="s">
        <v>365</v>
      </c>
      <c r="O198">
        <v>1</v>
      </c>
      <c r="P198" t="s">
        <v>715</v>
      </c>
      <c r="Q198" t="s">
        <v>716</v>
      </c>
    </row>
    <row r="199" spans="1:17" x14ac:dyDescent="0.25">
      <c r="A199">
        <v>8003879954</v>
      </c>
      <c r="B199">
        <v>54</v>
      </c>
      <c r="C199">
        <v>10082017</v>
      </c>
      <c r="D199">
        <v>299</v>
      </c>
      <c r="E199" t="s">
        <v>30</v>
      </c>
      <c r="F199">
        <v>9938</v>
      </c>
      <c r="G199" t="s">
        <v>714</v>
      </c>
      <c r="H199" s="1">
        <v>0.01</v>
      </c>
      <c r="I199" t="s">
        <v>28</v>
      </c>
      <c r="J199" s="1">
        <v>2461053.63</v>
      </c>
      <c r="K199" t="s">
        <v>26</v>
      </c>
      <c r="L199">
        <v>180843</v>
      </c>
      <c r="M199" t="s">
        <v>717</v>
      </c>
      <c r="O199">
        <v>1</v>
      </c>
    </row>
    <row r="200" spans="1:17" x14ac:dyDescent="0.25">
      <c r="A200">
        <v>8003879954</v>
      </c>
      <c r="B200">
        <v>53</v>
      </c>
      <c r="C200">
        <v>10082017</v>
      </c>
      <c r="D200">
        <v>489</v>
      </c>
      <c r="E200" t="s">
        <v>31</v>
      </c>
      <c r="F200">
        <v>9938</v>
      </c>
      <c r="G200" t="s">
        <v>714</v>
      </c>
      <c r="H200" s="1">
        <v>0.1</v>
      </c>
      <c r="I200" t="s">
        <v>28</v>
      </c>
      <c r="J200" s="1">
        <v>2461053.64</v>
      </c>
      <c r="K200" t="s">
        <v>26</v>
      </c>
      <c r="L200">
        <v>180843</v>
      </c>
      <c r="M200" t="s">
        <v>717</v>
      </c>
      <c r="O200">
        <v>1</v>
      </c>
    </row>
    <row r="201" spans="1:17" x14ac:dyDescent="0.25">
      <c r="A201">
        <v>8003879954</v>
      </c>
      <c r="B201">
        <v>52</v>
      </c>
      <c r="C201">
        <v>10082017</v>
      </c>
      <c r="D201">
        <v>341</v>
      </c>
      <c r="E201" t="s">
        <v>29</v>
      </c>
      <c r="F201">
        <v>9938</v>
      </c>
      <c r="G201" t="s">
        <v>718</v>
      </c>
      <c r="H201" s="1">
        <v>9540</v>
      </c>
      <c r="I201" t="s">
        <v>28</v>
      </c>
      <c r="J201" s="1">
        <v>2461053.7400000002</v>
      </c>
      <c r="K201" t="s">
        <v>26</v>
      </c>
      <c r="L201">
        <v>180842</v>
      </c>
      <c r="M201" t="s">
        <v>719</v>
      </c>
      <c r="O201">
        <v>1</v>
      </c>
      <c r="P201" t="s">
        <v>720</v>
      </c>
      <c r="Q201" t="s">
        <v>721</v>
      </c>
    </row>
    <row r="202" spans="1:17" x14ac:dyDescent="0.25">
      <c r="A202">
        <v>8003879954</v>
      </c>
      <c r="B202">
        <v>51</v>
      </c>
      <c r="C202">
        <v>10082017</v>
      </c>
      <c r="D202">
        <v>299</v>
      </c>
      <c r="E202" t="s">
        <v>30</v>
      </c>
      <c r="F202">
        <v>9938</v>
      </c>
      <c r="G202" t="s">
        <v>718</v>
      </c>
      <c r="H202" s="1">
        <v>0.01</v>
      </c>
      <c r="I202" t="s">
        <v>28</v>
      </c>
      <c r="J202" s="1">
        <v>2470593.7400000002</v>
      </c>
      <c r="K202" t="s">
        <v>26</v>
      </c>
      <c r="L202">
        <v>180842</v>
      </c>
      <c r="M202" t="s">
        <v>722</v>
      </c>
      <c r="O202">
        <v>1</v>
      </c>
    </row>
    <row r="203" spans="1:17" x14ac:dyDescent="0.25">
      <c r="A203">
        <v>8003879954</v>
      </c>
      <c r="B203">
        <v>50</v>
      </c>
      <c r="C203">
        <v>10082017</v>
      </c>
      <c r="D203">
        <v>489</v>
      </c>
      <c r="E203" t="s">
        <v>31</v>
      </c>
      <c r="F203">
        <v>9938</v>
      </c>
      <c r="G203" t="s">
        <v>718</v>
      </c>
      <c r="H203" s="1">
        <v>0.1</v>
      </c>
      <c r="I203" t="s">
        <v>28</v>
      </c>
      <c r="J203" s="1">
        <v>2470593.75</v>
      </c>
      <c r="K203" t="s">
        <v>26</v>
      </c>
      <c r="L203">
        <v>180842</v>
      </c>
      <c r="M203" t="s">
        <v>722</v>
      </c>
      <c r="O203">
        <v>1</v>
      </c>
    </row>
    <row r="204" spans="1:17" x14ac:dyDescent="0.25">
      <c r="A204">
        <v>8003879954</v>
      </c>
      <c r="B204">
        <v>49</v>
      </c>
      <c r="C204">
        <v>10082017</v>
      </c>
      <c r="D204">
        <v>341</v>
      </c>
      <c r="E204" t="s">
        <v>29</v>
      </c>
      <c r="F204">
        <v>9938</v>
      </c>
      <c r="G204" t="s">
        <v>723</v>
      </c>
      <c r="H204" s="1">
        <v>1270.94</v>
      </c>
      <c r="I204" t="s">
        <v>28</v>
      </c>
      <c r="J204" s="1">
        <v>2470593.85</v>
      </c>
      <c r="K204" t="s">
        <v>26</v>
      </c>
      <c r="L204">
        <v>180842</v>
      </c>
      <c r="M204" t="s">
        <v>550</v>
      </c>
      <c r="O204">
        <v>1</v>
      </c>
      <c r="P204" t="s">
        <v>724</v>
      </c>
      <c r="Q204" t="s">
        <v>725</v>
      </c>
    </row>
    <row r="205" spans="1:17" x14ac:dyDescent="0.25">
      <c r="A205">
        <v>8003879954</v>
      </c>
      <c r="B205">
        <v>48</v>
      </c>
      <c r="C205">
        <v>10082017</v>
      </c>
      <c r="D205">
        <v>299</v>
      </c>
      <c r="E205" t="s">
        <v>30</v>
      </c>
      <c r="F205">
        <v>9938</v>
      </c>
      <c r="G205" t="s">
        <v>723</v>
      </c>
      <c r="H205" s="1">
        <v>0.01</v>
      </c>
      <c r="I205" t="s">
        <v>28</v>
      </c>
      <c r="J205" s="1">
        <v>2471864.79</v>
      </c>
      <c r="K205" t="s">
        <v>26</v>
      </c>
      <c r="L205">
        <v>180842</v>
      </c>
      <c r="M205" t="s">
        <v>726</v>
      </c>
      <c r="O205">
        <v>1</v>
      </c>
    </row>
    <row r="206" spans="1:17" x14ac:dyDescent="0.25">
      <c r="A206">
        <v>8003879954</v>
      </c>
      <c r="B206">
        <v>47</v>
      </c>
      <c r="C206">
        <v>10082017</v>
      </c>
      <c r="D206">
        <v>489</v>
      </c>
      <c r="E206" t="s">
        <v>31</v>
      </c>
      <c r="F206">
        <v>9938</v>
      </c>
      <c r="G206" t="s">
        <v>723</v>
      </c>
      <c r="H206" s="1">
        <v>0.1</v>
      </c>
      <c r="I206" t="s">
        <v>28</v>
      </c>
      <c r="J206" s="1">
        <v>2471864.7999999998</v>
      </c>
      <c r="K206" t="s">
        <v>26</v>
      </c>
      <c r="L206">
        <v>180842</v>
      </c>
      <c r="M206" t="s">
        <v>726</v>
      </c>
      <c r="O206">
        <v>1</v>
      </c>
    </row>
    <row r="207" spans="1:17" x14ac:dyDescent="0.25">
      <c r="A207">
        <v>8003879954</v>
      </c>
      <c r="B207">
        <v>46</v>
      </c>
      <c r="C207">
        <v>10082017</v>
      </c>
      <c r="D207">
        <v>341</v>
      </c>
      <c r="E207" t="s">
        <v>29</v>
      </c>
      <c r="F207">
        <v>9938</v>
      </c>
      <c r="G207" t="s">
        <v>727</v>
      </c>
      <c r="H207" s="1">
        <v>360</v>
      </c>
      <c r="I207" t="s">
        <v>28</v>
      </c>
      <c r="J207" s="1">
        <v>2471864.9</v>
      </c>
      <c r="K207" t="s">
        <v>26</v>
      </c>
      <c r="L207">
        <v>180842</v>
      </c>
      <c r="M207" t="s">
        <v>165</v>
      </c>
      <c r="O207">
        <v>1</v>
      </c>
      <c r="P207" t="s">
        <v>728</v>
      </c>
      <c r="Q207" t="s">
        <v>729</v>
      </c>
    </row>
    <row r="208" spans="1:17" x14ac:dyDescent="0.25">
      <c r="A208">
        <v>8003879954</v>
      </c>
      <c r="B208">
        <v>45</v>
      </c>
      <c r="C208">
        <v>10082017</v>
      </c>
      <c r="D208">
        <v>299</v>
      </c>
      <c r="E208" t="s">
        <v>30</v>
      </c>
      <c r="F208">
        <v>9938</v>
      </c>
      <c r="G208" t="s">
        <v>727</v>
      </c>
      <c r="H208" s="1">
        <v>0.01</v>
      </c>
      <c r="I208" t="s">
        <v>28</v>
      </c>
      <c r="J208" s="1">
        <v>2472224.9</v>
      </c>
      <c r="K208" t="s">
        <v>26</v>
      </c>
      <c r="L208">
        <v>180842</v>
      </c>
      <c r="M208" t="s">
        <v>730</v>
      </c>
      <c r="O208">
        <v>1</v>
      </c>
    </row>
    <row r="209" spans="1:17" x14ac:dyDescent="0.25">
      <c r="A209">
        <v>8003879954</v>
      </c>
      <c r="B209">
        <v>44</v>
      </c>
      <c r="C209">
        <v>10082017</v>
      </c>
      <c r="D209">
        <v>489</v>
      </c>
      <c r="E209" t="s">
        <v>31</v>
      </c>
      <c r="F209">
        <v>9938</v>
      </c>
      <c r="G209" t="s">
        <v>727</v>
      </c>
      <c r="H209" s="1">
        <v>0.1</v>
      </c>
      <c r="I209" t="s">
        <v>28</v>
      </c>
      <c r="J209" s="1">
        <v>2472224.91</v>
      </c>
      <c r="K209" t="s">
        <v>26</v>
      </c>
      <c r="L209">
        <v>180842</v>
      </c>
      <c r="M209" t="s">
        <v>730</v>
      </c>
      <c r="O209">
        <v>1</v>
      </c>
    </row>
    <row r="210" spans="1:17" x14ac:dyDescent="0.25">
      <c r="A210">
        <v>8003879954</v>
      </c>
      <c r="B210">
        <v>43</v>
      </c>
      <c r="C210">
        <v>10082017</v>
      </c>
      <c r="D210">
        <v>341</v>
      </c>
      <c r="E210" t="s">
        <v>29</v>
      </c>
      <c r="F210">
        <v>9938</v>
      </c>
      <c r="G210" t="s">
        <v>731</v>
      </c>
      <c r="H210" s="1">
        <v>3710</v>
      </c>
      <c r="I210" t="s">
        <v>28</v>
      </c>
      <c r="J210" s="1">
        <v>2472225.0099999998</v>
      </c>
      <c r="K210" t="s">
        <v>26</v>
      </c>
      <c r="L210">
        <v>180842</v>
      </c>
      <c r="M210" t="s">
        <v>499</v>
      </c>
      <c r="O210">
        <v>1</v>
      </c>
      <c r="P210" t="s">
        <v>732</v>
      </c>
      <c r="Q210" t="s">
        <v>733</v>
      </c>
    </row>
    <row r="211" spans="1:17" x14ac:dyDescent="0.25">
      <c r="A211">
        <v>8003879954</v>
      </c>
      <c r="B211">
        <v>42</v>
      </c>
      <c r="C211">
        <v>10082017</v>
      </c>
      <c r="D211">
        <v>299</v>
      </c>
      <c r="E211" t="s">
        <v>30</v>
      </c>
      <c r="F211">
        <v>9938</v>
      </c>
      <c r="G211" t="s">
        <v>731</v>
      </c>
      <c r="H211" s="1">
        <v>0.01</v>
      </c>
      <c r="I211" t="s">
        <v>28</v>
      </c>
      <c r="J211" s="1">
        <v>2475935.0099999998</v>
      </c>
      <c r="K211" t="s">
        <v>26</v>
      </c>
      <c r="L211">
        <v>180842</v>
      </c>
      <c r="M211" t="s">
        <v>734</v>
      </c>
      <c r="O211">
        <v>1</v>
      </c>
    </row>
    <row r="212" spans="1:17" x14ac:dyDescent="0.25">
      <c r="A212">
        <v>8003879954</v>
      </c>
      <c r="B212">
        <v>41</v>
      </c>
      <c r="C212">
        <v>10082017</v>
      </c>
      <c r="D212">
        <v>489</v>
      </c>
      <c r="E212" t="s">
        <v>31</v>
      </c>
      <c r="F212">
        <v>9938</v>
      </c>
      <c r="G212" t="s">
        <v>731</v>
      </c>
      <c r="H212" s="1">
        <v>0.1</v>
      </c>
      <c r="I212" t="s">
        <v>28</v>
      </c>
      <c r="J212" s="1">
        <v>2475935.02</v>
      </c>
      <c r="K212" t="s">
        <v>26</v>
      </c>
      <c r="L212">
        <v>180842</v>
      </c>
      <c r="M212" t="s">
        <v>734</v>
      </c>
      <c r="O212">
        <v>1</v>
      </c>
    </row>
    <row r="213" spans="1:17" x14ac:dyDescent="0.25">
      <c r="A213">
        <v>8003879954</v>
      </c>
      <c r="B213">
        <v>40</v>
      </c>
      <c r="C213">
        <v>10082017</v>
      </c>
      <c r="D213">
        <v>341</v>
      </c>
      <c r="E213" t="s">
        <v>29</v>
      </c>
      <c r="F213">
        <v>9938</v>
      </c>
      <c r="G213" t="s">
        <v>735</v>
      </c>
      <c r="H213" s="1">
        <v>265</v>
      </c>
      <c r="I213" t="s">
        <v>28</v>
      </c>
      <c r="J213" s="1">
        <v>2475935.12</v>
      </c>
      <c r="K213" t="s">
        <v>26</v>
      </c>
      <c r="L213">
        <v>180841</v>
      </c>
      <c r="M213" t="s">
        <v>79</v>
      </c>
      <c r="O213">
        <v>1</v>
      </c>
      <c r="P213" t="s">
        <v>736</v>
      </c>
    </row>
    <row r="214" spans="1:17" x14ac:dyDescent="0.25">
      <c r="A214">
        <v>8003879954</v>
      </c>
      <c r="B214">
        <v>39</v>
      </c>
      <c r="C214">
        <v>10082017</v>
      </c>
      <c r="D214">
        <v>299</v>
      </c>
      <c r="E214" t="s">
        <v>30</v>
      </c>
      <c r="F214">
        <v>9938</v>
      </c>
      <c r="G214" t="s">
        <v>735</v>
      </c>
      <c r="H214" s="1">
        <v>0.01</v>
      </c>
      <c r="I214" t="s">
        <v>28</v>
      </c>
      <c r="J214" s="1">
        <v>2476200.12</v>
      </c>
      <c r="K214" t="s">
        <v>26</v>
      </c>
      <c r="L214">
        <v>180841</v>
      </c>
      <c r="M214" t="s">
        <v>736</v>
      </c>
      <c r="O214">
        <v>1</v>
      </c>
    </row>
    <row r="215" spans="1:17" x14ac:dyDescent="0.25">
      <c r="A215">
        <v>8003879954</v>
      </c>
      <c r="B215">
        <v>38</v>
      </c>
      <c r="C215">
        <v>10082017</v>
      </c>
      <c r="D215">
        <v>489</v>
      </c>
      <c r="E215" t="s">
        <v>31</v>
      </c>
      <c r="F215">
        <v>9938</v>
      </c>
      <c r="G215" t="s">
        <v>735</v>
      </c>
      <c r="H215" s="1">
        <v>0.1</v>
      </c>
      <c r="I215" t="s">
        <v>28</v>
      </c>
      <c r="J215" s="1">
        <v>2476200.13</v>
      </c>
      <c r="K215" t="s">
        <v>26</v>
      </c>
      <c r="L215">
        <v>180841</v>
      </c>
      <c r="M215" t="s">
        <v>736</v>
      </c>
      <c r="O215">
        <v>1</v>
      </c>
    </row>
    <row r="216" spans="1:17" x14ac:dyDescent="0.25">
      <c r="A216">
        <v>8003879954</v>
      </c>
      <c r="B216">
        <v>37</v>
      </c>
      <c r="C216">
        <v>10082017</v>
      </c>
      <c r="D216">
        <v>341</v>
      </c>
      <c r="E216" t="s">
        <v>29</v>
      </c>
      <c r="F216">
        <v>9938</v>
      </c>
      <c r="G216" t="s">
        <v>737</v>
      </c>
      <c r="H216" s="1">
        <v>127.2</v>
      </c>
      <c r="I216" t="s">
        <v>28</v>
      </c>
      <c r="J216" s="1">
        <v>2476200.23</v>
      </c>
      <c r="K216" t="s">
        <v>26</v>
      </c>
      <c r="L216">
        <v>180841</v>
      </c>
      <c r="M216" t="s">
        <v>481</v>
      </c>
      <c r="O216">
        <v>1</v>
      </c>
      <c r="P216" t="s">
        <v>738</v>
      </c>
      <c r="Q216" t="s">
        <v>739</v>
      </c>
    </row>
    <row r="217" spans="1:17" x14ac:dyDescent="0.25">
      <c r="A217">
        <v>8003879954</v>
      </c>
      <c r="B217">
        <v>36</v>
      </c>
      <c r="C217">
        <v>10082017</v>
      </c>
      <c r="D217">
        <v>299</v>
      </c>
      <c r="E217" t="s">
        <v>30</v>
      </c>
      <c r="F217">
        <v>9938</v>
      </c>
      <c r="G217" t="s">
        <v>737</v>
      </c>
      <c r="H217" s="1">
        <v>0.01</v>
      </c>
      <c r="I217" t="s">
        <v>28</v>
      </c>
      <c r="J217" s="1">
        <v>2476327.4300000002</v>
      </c>
      <c r="K217" t="s">
        <v>26</v>
      </c>
      <c r="L217">
        <v>180841</v>
      </c>
      <c r="M217" t="s">
        <v>740</v>
      </c>
      <c r="O217">
        <v>1</v>
      </c>
    </row>
    <row r="218" spans="1:17" x14ac:dyDescent="0.25">
      <c r="A218">
        <v>8003879954</v>
      </c>
      <c r="B218">
        <v>35</v>
      </c>
      <c r="C218">
        <v>10082017</v>
      </c>
      <c r="D218">
        <v>489</v>
      </c>
      <c r="E218" t="s">
        <v>31</v>
      </c>
      <c r="F218">
        <v>9938</v>
      </c>
      <c r="G218" t="s">
        <v>737</v>
      </c>
      <c r="H218" s="1">
        <v>0.1</v>
      </c>
      <c r="I218" t="s">
        <v>28</v>
      </c>
      <c r="J218" s="1">
        <v>2476327.44</v>
      </c>
      <c r="K218" t="s">
        <v>26</v>
      </c>
      <c r="L218">
        <v>180841</v>
      </c>
      <c r="M218" t="s">
        <v>740</v>
      </c>
      <c r="O218">
        <v>1</v>
      </c>
    </row>
    <row r="219" spans="1:17" x14ac:dyDescent="0.25">
      <c r="A219">
        <v>8003879954</v>
      </c>
      <c r="B219">
        <v>34</v>
      </c>
      <c r="C219">
        <v>10082017</v>
      </c>
      <c r="D219">
        <v>341</v>
      </c>
      <c r="E219" t="s">
        <v>29</v>
      </c>
      <c r="F219">
        <v>9938</v>
      </c>
      <c r="G219" t="s">
        <v>741</v>
      </c>
      <c r="H219" s="1">
        <v>2262.91</v>
      </c>
      <c r="I219" t="s">
        <v>28</v>
      </c>
      <c r="J219" s="1">
        <v>2476327.54</v>
      </c>
      <c r="K219" t="s">
        <v>26</v>
      </c>
      <c r="L219">
        <v>180841</v>
      </c>
      <c r="M219" t="s">
        <v>572</v>
      </c>
      <c r="O219">
        <v>1</v>
      </c>
      <c r="P219" t="s">
        <v>742</v>
      </c>
      <c r="Q219" t="s">
        <v>743</v>
      </c>
    </row>
    <row r="220" spans="1:17" x14ac:dyDescent="0.25">
      <c r="A220">
        <v>8003879954</v>
      </c>
      <c r="B220">
        <v>33</v>
      </c>
      <c r="C220">
        <v>10082017</v>
      </c>
      <c r="D220">
        <v>299</v>
      </c>
      <c r="E220" t="s">
        <v>30</v>
      </c>
      <c r="F220">
        <v>9938</v>
      </c>
      <c r="G220" t="s">
        <v>741</v>
      </c>
      <c r="H220" s="1">
        <v>0.01</v>
      </c>
      <c r="I220" t="s">
        <v>28</v>
      </c>
      <c r="J220" s="1">
        <v>2478590.4500000002</v>
      </c>
      <c r="K220" t="s">
        <v>26</v>
      </c>
      <c r="L220">
        <v>180841</v>
      </c>
      <c r="M220" t="s">
        <v>744</v>
      </c>
      <c r="O220">
        <v>1</v>
      </c>
    </row>
    <row r="221" spans="1:17" x14ac:dyDescent="0.25">
      <c r="A221">
        <v>8003879954</v>
      </c>
      <c r="B221">
        <v>32</v>
      </c>
      <c r="C221">
        <v>10082017</v>
      </c>
      <c r="D221">
        <v>489</v>
      </c>
      <c r="E221" t="s">
        <v>31</v>
      </c>
      <c r="F221">
        <v>9938</v>
      </c>
      <c r="G221" t="s">
        <v>741</v>
      </c>
      <c r="H221" s="1">
        <v>0.1</v>
      </c>
      <c r="I221" t="s">
        <v>28</v>
      </c>
      <c r="J221" s="1">
        <v>2478590.46</v>
      </c>
      <c r="K221" t="s">
        <v>26</v>
      </c>
      <c r="L221">
        <v>180841</v>
      </c>
      <c r="M221" t="s">
        <v>744</v>
      </c>
      <c r="O221">
        <v>1</v>
      </c>
    </row>
    <row r="222" spans="1:17" x14ac:dyDescent="0.25">
      <c r="A222">
        <v>8003879954</v>
      </c>
      <c r="B222">
        <v>31</v>
      </c>
      <c r="C222">
        <v>10082017</v>
      </c>
      <c r="D222">
        <v>60</v>
      </c>
      <c r="E222" t="s">
        <v>43</v>
      </c>
      <c r="F222">
        <v>9938</v>
      </c>
      <c r="G222" t="s">
        <v>745</v>
      </c>
      <c r="H222" s="1">
        <v>5300</v>
      </c>
      <c r="I222" t="s">
        <v>28</v>
      </c>
      <c r="J222" s="1">
        <v>2478590.56</v>
      </c>
      <c r="K222" t="s">
        <v>26</v>
      </c>
      <c r="L222">
        <v>180841</v>
      </c>
      <c r="M222" t="s">
        <v>746</v>
      </c>
      <c r="O222">
        <v>1</v>
      </c>
      <c r="P222" t="s">
        <v>747</v>
      </c>
      <c r="Q222" t="s">
        <v>748</v>
      </c>
    </row>
    <row r="223" spans="1:17" x14ac:dyDescent="0.25">
      <c r="A223">
        <v>8003879954</v>
      </c>
      <c r="B223">
        <v>30</v>
      </c>
      <c r="C223">
        <v>10082017</v>
      </c>
      <c r="D223">
        <v>60</v>
      </c>
      <c r="E223" t="s">
        <v>43</v>
      </c>
      <c r="F223">
        <v>9938</v>
      </c>
      <c r="G223" t="s">
        <v>749</v>
      </c>
      <c r="H223" s="1">
        <v>1800</v>
      </c>
      <c r="I223" t="s">
        <v>28</v>
      </c>
      <c r="J223" s="1">
        <v>2483890.56</v>
      </c>
      <c r="K223" t="s">
        <v>26</v>
      </c>
      <c r="L223">
        <v>180841</v>
      </c>
      <c r="M223" t="s">
        <v>750</v>
      </c>
      <c r="O223">
        <v>1</v>
      </c>
      <c r="P223" t="s">
        <v>751</v>
      </c>
      <c r="Q223" t="s">
        <v>752</v>
      </c>
    </row>
    <row r="224" spans="1:17" x14ac:dyDescent="0.25">
      <c r="A224">
        <v>8003879954</v>
      </c>
      <c r="B224">
        <v>29</v>
      </c>
      <c r="C224">
        <v>10082017</v>
      </c>
      <c r="D224">
        <v>341</v>
      </c>
      <c r="E224" t="s">
        <v>29</v>
      </c>
      <c r="F224">
        <v>9938</v>
      </c>
      <c r="G224" t="s">
        <v>753</v>
      </c>
      <c r="H224" s="1">
        <v>17.5</v>
      </c>
      <c r="I224" t="s">
        <v>28</v>
      </c>
      <c r="J224" s="1">
        <v>2485690.56</v>
      </c>
      <c r="K224" t="s">
        <v>26</v>
      </c>
      <c r="L224">
        <v>180536</v>
      </c>
      <c r="M224" t="s">
        <v>97</v>
      </c>
      <c r="O224">
        <v>1</v>
      </c>
      <c r="P224" t="s">
        <v>754</v>
      </c>
      <c r="Q224" t="s">
        <v>755</v>
      </c>
    </row>
    <row r="225" spans="1:17" x14ac:dyDescent="0.25">
      <c r="A225">
        <v>8003879954</v>
      </c>
      <c r="B225">
        <v>28</v>
      </c>
      <c r="C225">
        <v>10082017</v>
      </c>
      <c r="D225">
        <v>299</v>
      </c>
      <c r="E225" t="s">
        <v>30</v>
      </c>
      <c r="F225">
        <v>9938</v>
      </c>
      <c r="G225" t="s">
        <v>753</v>
      </c>
      <c r="H225" s="1">
        <v>0.01</v>
      </c>
      <c r="I225" t="s">
        <v>28</v>
      </c>
      <c r="J225" s="1">
        <v>2485708.06</v>
      </c>
      <c r="K225" t="s">
        <v>26</v>
      </c>
      <c r="L225">
        <v>180536</v>
      </c>
      <c r="M225" t="s">
        <v>756</v>
      </c>
      <c r="O225">
        <v>1</v>
      </c>
    </row>
    <row r="226" spans="1:17" x14ac:dyDescent="0.25">
      <c r="A226">
        <v>8003879954</v>
      </c>
      <c r="B226">
        <v>27</v>
      </c>
      <c r="C226">
        <v>10082017</v>
      </c>
      <c r="D226">
        <v>489</v>
      </c>
      <c r="E226" t="s">
        <v>31</v>
      </c>
      <c r="F226">
        <v>9938</v>
      </c>
      <c r="G226" t="s">
        <v>753</v>
      </c>
      <c r="H226" s="1">
        <v>0.1</v>
      </c>
      <c r="I226" t="s">
        <v>28</v>
      </c>
      <c r="J226" s="1">
        <v>2485708.0699999998</v>
      </c>
      <c r="K226" t="s">
        <v>26</v>
      </c>
      <c r="L226">
        <v>180536</v>
      </c>
      <c r="M226" t="s">
        <v>756</v>
      </c>
      <c r="O226">
        <v>1</v>
      </c>
    </row>
    <row r="227" spans="1:17" x14ac:dyDescent="0.25">
      <c r="A227">
        <v>8003879954</v>
      </c>
      <c r="B227">
        <v>26</v>
      </c>
      <c r="C227">
        <v>10082017</v>
      </c>
      <c r="D227">
        <v>341</v>
      </c>
      <c r="E227" t="s">
        <v>29</v>
      </c>
      <c r="F227">
        <v>9938</v>
      </c>
      <c r="G227" t="s">
        <v>757</v>
      </c>
      <c r="H227" s="1">
        <v>800</v>
      </c>
      <c r="I227" t="s">
        <v>28</v>
      </c>
      <c r="J227" s="1">
        <v>2485708.17</v>
      </c>
      <c r="K227" t="s">
        <v>26</v>
      </c>
      <c r="L227">
        <v>180536</v>
      </c>
      <c r="M227" t="s">
        <v>83</v>
      </c>
      <c r="O227">
        <v>1</v>
      </c>
      <c r="P227" t="s">
        <v>758</v>
      </c>
      <c r="Q227" t="s">
        <v>759</v>
      </c>
    </row>
    <row r="228" spans="1:17" x14ac:dyDescent="0.25">
      <c r="A228">
        <v>8003879954</v>
      </c>
      <c r="B228">
        <v>25</v>
      </c>
      <c r="C228">
        <v>10082017</v>
      </c>
      <c r="D228">
        <v>299</v>
      </c>
      <c r="E228" t="s">
        <v>30</v>
      </c>
      <c r="F228">
        <v>9938</v>
      </c>
      <c r="G228" t="s">
        <v>757</v>
      </c>
      <c r="H228" s="1">
        <v>0.01</v>
      </c>
      <c r="I228" t="s">
        <v>28</v>
      </c>
      <c r="J228" s="1">
        <v>2486508.17</v>
      </c>
      <c r="K228" t="s">
        <v>26</v>
      </c>
      <c r="L228">
        <v>180536</v>
      </c>
      <c r="M228" t="s">
        <v>760</v>
      </c>
      <c r="O228">
        <v>1</v>
      </c>
    </row>
    <row r="229" spans="1:17" x14ac:dyDescent="0.25">
      <c r="A229">
        <v>8003879954</v>
      </c>
      <c r="B229">
        <v>24</v>
      </c>
      <c r="C229">
        <v>10082017</v>
      </c>
      <c r="D229">
        <v>489</v>
      </c>
      <c r="E229" t="s">
        <v>31</v>
      </c>
      <c r="F229">
        <v>9938</v>
      </c>
      <c r="G229" t="s">
        <v>757</v>
      </c>
      <c r="H229" s="1">
        <v>0.1</v>
      </c>
      <c r="I229" t="s">
        <v>28</v>
      </c>
      <c r="J229" s="1">
        <v>2486508.1800000002</v>
      </c>
      <c r="K229" t="s">
        <v>26</v>
      </c>
      <c r="L229">
        <v>180536</v>
      </c>
      <c r="M229" t="s">
        <v>760</v>
      </c>
      <c r="O229">
        <v>1</v>
      </c>
    </row>
    <row r="230" spans="1:17" x14ac:dyDescent="0.25">
      <c r="A230">
        <v>8003879954</v>
      </c>
      <c r="B230">
        <v>23</v>
      </c>
      <c r="C230">
        <v>10082017</v>
      </c>
      <c r="D230">
        <v>341</v>
      </c>
      <c r="E230" t="s">
        <v>29</v>
      </c>
      <c r="F230">
        <v>9938</v>
      </c>
      <c r="G230" t="s">
        <v>761</v>
      </c>
      <c r="H230" s="1">
        <v>339.2</v>
      </c>
      <c r="I230" t="s">
        <v>28</v>
      </c>
      <c r="J230" s="1">
        <v>2486508.2799999998</v>
      </c>
      <c r="K230" t="s">
        <v>26</v>
      </c>
      <c r="L230">
        <v>180535</v>
      </c>
      <c r="M230" t="s">
        <v>120</v>
      </c>
      <c r="O230">
        <v>1</v>
      </c>
      <c r="P230" t="s">
        <v>762</v>
      </c>
      <c r="Q230" t="s">
        <v>763</v>
      </c>
    </row>
    <row r="231" spans="1:17" x14ac:dyDescent="0.25">
      <c r="A231">
        <v>8003879954</v>
      </c>
      <c r="B231">
        <v>22</v>
      </c>
      <c r="C231">
        <v>10082017</v>
      </c>
      <c r="D231">
        <v>299</v>
      </c>
      <c r="E231" t="s">
        <v>30</v>
      </c>
      <c r="F231">
        <v>9938</v>
      </c>
      <c r="G231" t="s">
        <v>761</v>
      </c>
      <c r="H231" s="1">
        <v>0.01</v>
      </c>
      <c r="I231" t="s">
        <v>28</v>
      </c>
      <c r="J231" s="1">
        <v>2486847.48</v>
      </c>
      <c r="K231" t="s">
        <v>26</v>
      </c>
      <c r="L231">
        <v>180535</v>
      </c>
      <c r="M231" t="s">
        <v>764</v>
      </c>
      <c r="O231">
        <v>1</v>
      </c>
    </row>
    <row r="232" spans="1:17" x14ac:dyDescent="0.25">
      <c r="A232">
        <v>8003879954</v>
      </c>
      <c r="B232">
        <v>21</v>
      </c>
      <c r="C232">
        <v>10082017</v>
      </c>
      <c r="D232">
        <v>489</v>
      </c>
      <c r="E232" t="s">
        <v>31</v>
      </c>
      <c r="F232">
        <v>9938</v>
      </c>
      <c r="G232" t="s">
        <v>761</v>
      </c>
      <c r="H232" s="1">
        <v>0.1</v>
      </c>
      <c r="I232" t="s">
        <v>28</v>
      </c>
      <c r="J232" s="1">
        <v>2486847.4900000002</v>
      </c>
      <c r="K232" t="s">
        <v>26</v>
      </c>
      <c r="L232">
        <v>180535</v>
      </c>
      <c r="M232" t="s">
        <v>764</v>
      </c>
      <c r="O232">
        <v>1</v>
      </c>
    </row>
    <row r="233" spans="1:17" x14ac:dyDescent="0.25">
      <c r="A233">
        <v>8003879954</v>
      </c>
      <c r="B233">
        <v>20</v>
      </c>
      <c r="C233">
        <v>10082017</v>
      </c>
      <c r="D233">
        <v>341</v>
      </c>
      <c r="E233" t="s">
        <v>29</v>
      </c>
      <c r="F233">
        <v>9938</v>
      </c>
      <c r="G233" t="s">
        <v>765</v>
      </c>
      <c r="H233" s="1">
        <v>9105.76</v>
      </c>
      <c r="I233" t="s">
        <v>28</v>
      </c>
      <c r="J233" s="1">
        <v>2486847.59</v>
      </c>
      <c r="K233" t="s">
        <v>26</v>
      </c>
      <c r="L233">
        <v>180534</v>
      </c>
      <c r="M233" t="s">
        <v>101</v>
      </c>
      <c r="O233">
        <v>1</v>
      </c>
      <c r="P233" t="s">
        <v>766</v>
      </c>
      <c r="Q233" t="s">
        <v>767</v>
      </c>
    </row>
    <row r="234" spans="1:17" x14ac:dyDescent="0.25">
      <c r="A234">
        <v>8003879954</v>
      </c>
      <c r="B234">
        <v>19</v>
      </c>
      <c r="C234">
        <v>10082017</v>
      </c>
      <c r="D234">
        <v>299</v>
      </c>
      <c r="E234" t="s">
        <v>30</v>
      </c>
      <c r="F234">
        <v>9938</v>
      </c>
      <c r="G234" t="s">
        <v>765</v>
      </c>
      <c r="H234" s="1">
        <v>0.01</v>
      </c>
      <c r="I234" t="s">
        <v>28</v>
      </c>
      <c r="J234" s="1">
        <v>2495953.35</v>
      </c>
      <c r="K234" t="s">
        <v>26</v>
      </c>
      <c r="L234">
        <v>180534</v>
      </c>
      <c r="M234" t="s">
        <v>768</v>
      </c>
      <c r="O234">
        <v>1</v>
      </c>
    </row>
    <row r="235" spans="1:17" x14ac:dyDescent="0.25">
      <c r="A235">
        <v>8003879954</v>
      </c>
      <c r="B235">
        <v>18</v>
      </c>
      <c r="C235">
        <v>10082017</v>
      </c>
      <c r="D235">
        <v>489</v>
      </c>
      <c r="E235" t="s">
        <v>31</v>
      </c>
      <c r="F235">
        <v>9938</v>
      </c>
      <c r="G235" t="s">
        <v>765</v>
      </c>
      <c r="H235" s="1">
        <v>0.1</v>
      </c>
      <c r="I235" t="s">
        <v>28</v>
      </c>
      <c r="J235" s="1">
        <v>2495953.36</v>
      </c>
      <c r="K235" t="s">
        <v>26</v>
      </c>
      <c r="L235">
        <v>180534</v>
      </c>
      <c r="M235" t="s">
        <v>768</v>
      </c>
      <c r="O235">
        <v>1</v>
      </c>
    </row>
    <row r="236" spans="1:17" x14ac:dyDescent="0.25">
      <c r="A236">
        <v>8003879954</v>
      </c>
      <c r="B236">
        <v>17</v>
      </c>
      <c r="C236">
        <v>10082017</v>
      </c>
      <c r="D236">
        <v>341</v>
      </c>
      <c r="E236" t="s">
        <v>29</v>
      </c>
      <c r="F236">
        <v>9938</v>
      </c>
      <c r="G236" t="s">
        <v>769</v>
      </c>
      <c r="H236" s="1">
        <v>1210</v>
      </c>
      <c r="I236" t="s">
        <v>28</v>
      </c>
      <c r="J236" s="1">
        <v>2495953.46</v>
      </c>
      <c r="K236" t="s">
        <v>26</v>
      </c>
      <c r="L236">
        <v>180535</v>
      </c>
      <c r="M236" t="s">
        <v>379</v>
      </c>
      <c r="O236">
        <v>1</v>
      </c>
      <c r="P236" t="s">
        <v>770</v>
      </c>
      <c r="Q236" t="s">
        <v>771</v>
      </c>
    </row>
    <row r="237" spans="1:17" x14ac:dyDescent="0.25">
      <c r="A237">
        <v>8003879954</v>
      </c>
      <c r="B237">
        <v>16</v>
      </c>
      <c r="C237">
        <v>10082017</v>
      </c>
      <c r="D237">
        <v>299</v>
      </c>
      <c r="E237" t="s">
        <v>30</v>
      </c>
      <c r="F237">
        <v>9938</v>
      </c>
      <c r="G237" t="s">
        <v>769</v>
      </c>
      <c r="H237" s="1">
        <v>0.01</v>
      </c>
      <c r="I237" t="s">
        <v>28</v>
      </c>
      <c r="J237" s="1">
        <v>2497163.46</v>
      </c>
      <c r="K237" t="s">
        <v>26</v>
      </c>
      <c r="L237">
        <v>180535</v>
      </c>
      <c r="M237" t="s">
        <v>772</v>
      </c>
      <c r="O237">
        <v>1</v>
      </c>
    </row>
    <row r="238" spans="1:17" x14ac:dyDescent="0.25">
      <c r="A238">
        <v>8003879954</v>
      </c>
      <c r="B238">
        <v>15</v>
      </c>
      <c r="C238">
        <v>10082017</v>
      </c>
      <c r="D238">
        <v>489</v>
      </c>
      <c r="E238" t="s">
        <v>31</v>
      </c>
      <c r="F238">
        <v>9938</v>
      </c>
      <c r="G238" t="s">
        <v>769</v>
      </c>
      <c r="H238" s="1">
        <v>0.1</v>
      </c>
      <c r="I238" t="s">
        <v>28</v>
      </c>
      <c r="J238" s="1">
        <v>2497163.4700000002</v>
      </c>
      <c r="K238" t="s">
        <v>26</v>
      </c>
      <c r="L238">
        <v>180535</v>
      </c>
      <c r="M238" t="s">
        <v>772</v>
      </c>
      <c r="O238">
        <v>1</v>
      </c>
    </row>
    <row r="239" spans="1:17" x14ac:dyDescent="0.25">
      <c r="A239">
        <v>8003879954</v>
      </c>
      <c r="B239">
        <v>14</v>
      </c>
      <c r="C239">
        <v>10082017</v>
      </c>
      <c r="D239">
        <v>341</v>
      </c>
      <c r="E239" t="s">
        <v>29</v>
      </c>
      <c r="F239">
        <v>9938</v>
      </c>
      <c r="G239" t="s">
        <v>773</v>
      </c>
      <c r="H239" s="1">
        <v>1335.6</v>
      </c>
      <c r="I239" t="s">
        <v>28</v>
      </c>
      <c r="J239" s="1">
        <v>2497163.5699999998</v>
      </c>
      <c r="K239" t="s">
        <v>26</v>
      </c>
      <c r="L239">
        <v>180534</v>
      </c>
      <c r="M239" t="s">
        <v>113</v>
      </c>
      <c r="O239">
        <v>1</v>
      </c>
      <c r="P239" t="s">
        <v>774</v>
      </c>
      <c r="Q239" t="s">
        <v>775</v>
      </c>
    </row>
    <row r="240" spans="1:17" x14ac:dyDescent="0.25">
      <c r="A240">
        <v>8003879954</v>
      </c>
      <c r="B240">
        <v>13</v>
      </c>
      <c r="C240">
        <v>10082017</v>
      </c>
      <c r="D240">
        <v>299</v>
      </c>
      <c r="E240" t="s">
        <v>30</v>
      </c>
      <c r="F240">
        <v>9938</v>
      </c>
      <c r="G240" t="s">
        <v>773</v>
      </c>
      <c r="H240" s="1">
        <v>0.01</v>
      </c>
      <c r="I240" t="s">
        <v>28</v>
      </c>
      <c r="J240" s="1">
        <v>2498499.17</v>
      </c>
      <c r="K240" t="s">
        <v>26</v>
      </c>
      <c r="L240">
        <v>180534</v>
      </c>
      <c r="M240" t="s">
        <v>776</v>
      </c>
      <c r="O240">
        <v>1</v>
      </c>
    </row>
    <row r="241" spans="1:17" x14ac:dyDescent="0.25">
      <c r="A241">
        <v>8003879954</v>
      </c>
      <c r="B241">
        <v>12</v>
      </c>
      <c r="C241">
        <v>10082017</v>
      </c>
      <c r="D241">
        <v>489</v>
      </c>
      <c r="E241" t="s">
        <v>31</v>
      </c>
      <c r="F241">
        <v>9938</v>
      </c>
      <c r="G241" t="s">
        <v>773</v>
      </c>
      <c r="H241" s="1">
        <v>0.1</v>
      </c>
      <c r="I241" t="s">
        <v>28</v>
      </c>
      <c r="J241" s="1">
        <v>2498499.1800000002</v>
      </c>
      <c r="K241" t="s">
        <v>26</v>
      </c>
      <c r="L241">
        <v>180534</v>
      </c>
      <c r="M241" t="s">
        <v>776</v>
      </c>
      <c r="O241">
        <v>1</v>
      </c>
    </row>
    <row r="242" spans="1:17" x14ac:dyDescent="0.25">
      <c r="A242">
        <v>8003879954</v>
      </c>
      <c r="B242">
        <v>11</v>
      </c>
      <c r="C242">
        <v>10082017</v>
      </c>
      <c r="D242">
        <v>341</v>
      </c>
      <c r="E242" t="s">
        <v>29</v>
      </c>
      <c r="F242">
        <v>9938</v>
      </c>
      <c r="G242" t="s">
        <v>777</v>
      </c>
      <c r="H242" s="1">
        <v>850</v>
      </c>
      <c r="I242" t="s">
        <v>28</v>
      </c>
      <c r="J242" s="1">
        <v>2498499.2799999998</v>
      </c>
      <c r="K242" t="s">
        <v>26</v>
      </c>
      <c r="L242">
        <v>180534</v>
      </c>
      <c r="M242" t="s">
        <v>778</v>
      </c>
      <c r="O242">
        <v>1</v>
      </c>
      <c r="P242" t="s">
        <v>779</v>
      </c>
    </row>
    <row r="243" spans="1:17" x14ac:dyDescent="0.25">
      <c r="A243">
        <v>8003879954</v>
      </c>
      <c r="B243">
        <v>10</v>
      </c>
      <c r="C243">
        <v>10082017</v>
      </c>
      <c r="D243">
        <v>299</v>
      </c>
      <c r="E243" t="s">
        <v>30</v>
      </c>
      <c r="F243">
        <v>9938</v>
      </c>
      <c r="G243" t="s">
        <v>777</v>
      </c>
      <c r="H243" s="1">
        <v>0.01</v>
      </c>
      <c r="I243" t="s">
        <v>28</v>
      </c>
      <c r="J243" s="1">
        <v>2499349.2799999998</v>
      </c>
      <c r="K243" t="s">
        <v>26</v>
      </c>
      <c r="L243">
        <v>180534</v>
      </c>
      <c r="M243" t="s">
        <v>779</v>
      </c>
      <c r="O243">
        <v>1</v>
      </c>
    </row>
    <row r="244" spans="1:17" x14ac:dyDescent="0.25">
      <c r="A244">
        <v>8003879954</v>
      </c>
      <c r="B244">
        <v>9</v>
      </c>
      <c r="C244">
        <v>10082017</v>
      </c>
      <c r="D244">
        <v>489</v>
      </c>
      <c r="E244" t="s">
        <v>31</v>
      </c>
      <c r="F244">
        <v>9938</v>
      </c>
      <c r="G244" t="s">
        <v>777</v>
      </c>
      <c r="H244" s="1">
        <v>0.1</v>
      </c>
      <c r="I244" t="s">
        <v>28</v>
      </c>
      <c r="J244" s="1">
        <v>2499349.29</v>
      </c>
      <c r="K244" t="s">
        <v>26</v>
      </c>
      <c r="L244">
        <v>180534</v>
      </c>
      <c r="M244" t="s">
        <v>779</v>
      </c>
      <c r="O244">
        <v>1</v>
      </c>
    </row>
    <row r="245" spans="1:17" x14ac:dyDescent="0.25">
      <c r="A245">
        <v>8003879954</v>
      </c>
      <c r="B245">
        <v>8</v>
      </c>
      <c r="C245">
        <v>10082017</v>
      </c>
      <c r="D245">
        <v>341</v>
      </c>
      <c r="E245" t="s">
        <v>29</v>
      </c>
      <c r="F245">
        <v>9938</v>
      </c>
      <c r="G245" t="s">
        <v>780</v>
      </c>
      <c r="H245" s="1">
        <v>18</v>
      </c>
      <c r="I245" t="s">
        <v>28</v>
      </c>
      <c r="J245" s="1">
        <v>2499349.39</v>
      </c>
      <c r="K245" t="s">
        <v>26</v>
      </c>
      <c r="L245">
        <v>180533</v>
      </c>
      <c r="M245" t="s">
        <v>604</v>
      </c>
      <c r="O245">
        <v>1</v>
      </c>
      <c r="P245" t="s">
        <v>781</v>
      </c>
    </row>
    <row r="246" spans="1:17" x14ac:dyDescent="0.25">
      <c r="A246">
        <v>8003879954</v>
      </c>
      <c r="B246">
        <v>7</v>
      </c>
      <c r="C246">
        <v>10082017</v>
      </c>
      <c r="D246">
        <v>299</v>
      </c>
      <c r="E246" t="s">
        <v>30</v>
      </c>
      <c r="F246">
        <v>9938</v>
      </c>
      <c r="G246" t="s">
        <v>780</v>
      </c>
      <c r="H246" s="1">
        <v>0.01</v>
      </c>
      <c r="I246" t="s">
        <v>28</v>
      </c>
      <c r="J246" s="1">
        <v>2499367.39</v>
      </c>
      <c r="K246" t="s">
        <v>26</v>
      </c>
      <c r="L246">
        <v>180533</v>
      </c>
      <c r="M246" t="s">
        <v>781</v>
      </c>
      <c r="O246">
        <v>1</v>
      </c>
    </row>
    <row r="247" spans="1:17" x14ac:dyDescent="0.25">
      <c r="A247">
        <v>8003879954</v>
      </c>
      <c r="B247">
        <v>6</v>
      </c>
      <c r="C247">
        <v>10082017</v>
      </c>
      <c r="D247">
        <v>489</v>
      </c>
      <c r="E247" t="s">
        <v>31</v>
      </c>
      <c r="F247">
        <v>9938</v>
      </c>
      <c r="G247" t="s">
        <v>780</v>
      </c>
      <c r="H247" s="1">
        <v>0.1</v>
      </c>
      <c r="I247" t="s">
        <v>28</v>
      </c>
      <c r="J247" s="1">
        <v>2499367.4</v>
      </c>
      <c r="K247" t="s">
        <v>26</v>
      </c>
      <c r="L247">
        <v>180533</v>
      </c>
      <c r="M247" t="s">
        <v>781</v>
      </c>
      <c r="O247">
        <v>1</v>
      </c>
    </row>
    <row r="248" spans="1:17" x14ac:dyDescent="0.25">
      <c r="A248">
        <v>8003879954</v>
      </c>
      <c r="B248">
        <v>5</v>
      </c>
      <c r="C248">
        <v>10082017</v>
      </c>
      <c r="D248">
        <v>341</v>
      </c>
      <c r="E248" t="s">
        <v>29</v>
      </c>
      <c r="F248">
        <v>9938</v>
      </c>
      <c r="G248" t="s">
        <v>782</v>
      </c>
      <c r="H248" s="1">
        <v>291.5</v>
      </c>
      <c r="I248" t="s">
        <v>28</v>
      </c>
      <c r="J248" s="1">
        <v>2499367.5</v>
      </c>
      <c r="K248" t="s">
        <v>26</v>
      </c>
      <c r="L248">
        <v>180533</v>
      </c>
      <c r="M248" t="s">
        <v>783</v>
      </c>
      <c r="O248">
        <v>1</v>
      </c>
      <c r="P248" t="s">
        <v>784</v>
      </c>
      <c r="Q248" t="s">
        <v>785</v>
      </c>
    </row>
    <row r="249" spans="1:17" x14ac:dyDescent="0.25">
      <c r="A249">
        <v>8003879954</v>
      </c>
      <c r="B249">
        <v>4</v>
      </c>
      <c r="C249">
        <v>10082017</v>
      </c>
      <c r="D249">
        <v>299</v>
      </c>
      <c r="E249" t="s">
        <v>30</v>
      </c>
      <c r="F249">
        <v>9938</v>
      </c>
      <c r="G249" t="s">
        <v>782</v>
      </c>
      <c r="H249" s="1">
        <v>0.01</v>
      </c>
      <c r="I249" t="s">
        <v>28</v>
      </c>
      <c r="J249" s="1">
        <v>2499659</v>
      </c>
      <c r="K249" t="s">
        <v>26</v>
      </c>
      <c r="L249">
        <v>180533</v>
      </c>
      <c r="M249" t="s">
        <v>786</v>
      </c>
      <c r="O249">
        <v>1</v>
      </c>
    </row>
    <row r="250" spans="1:17" x14ac:dyDescent="0.25">
      <c r="A250">
        <v>8003879954</v>
      </c>
      <c r="B250">
        <v>3</v>
      </c>
      <c r="C250">
        <v>10082017</v>
      </c>
      <c r="D250">
        <v>489</v>
      </c>
      <c r="E250" t="s">
        <v>31</v>
      </c>
      <c r="F250">
        <v>9938</v>
      </c>
      <c r="G250" t="s">
        <v>782</v>
      </c>
      <c r="H250" s="1">
        <v>0.1</v>
      </c>
      <c r="I250" t="s">
        <v>28</v>
      </c>
      <c r="J250" s="1">
        <v>2499659.0099999998</v>
      </c>
      <c r="K250" t="s">
        <v>26</v>
      </c>
      <c r="L250">
        <v>180533</v>
      </c>
      <c r="M250" t="s">
        <v>786</v>
      </c>
      <c r="O250">
        <v>1</v>
      </c>
    </row>
    <row r="251" spans="1:17" x14ac:dyDescent="0.25">
      <c r="A251">
        <v>8003879954</v>
      </c>
      <c r="B251">
        <v>2</v>
      </c>
      <c r="C251">
        <v>10082017</v>
      </c>
      <c r="D251">
        <v>60</v>
      </c>
      <c r="E251" t="s">
        <v>43</v>
      </c>
      <c r="F251">
        <v>9938</v>
      </c>
      <c r="G251" t="s">
        <v>787</v>
      </c>
      <c r="H251" s="1">
        <v>390</v>
      </c>
      <c r="I251" t="s">
        <v>28</v>
      </c>
      <c r="J251" s="1">
        <v>2499659.11</v>
      </c>
      <c r="K251" t="s">
        <v>26</v>
      </c>
      <c r="L251">
        <v>180533</v>
      </c>
      <c r="M251" t="s">
        <v>788</v>
      </c>
      <c r="O251">
        <v>1</v>
      </c>
      <c r="P251" t="s">
        <v>789</v>
      </c>
      <c r="Q251" t="s">
        <v>790</v>
      </c>
    </row>
    <row r="252" spans="1:17" x14ac:dyDescent="0.25">
      <c r="A252">
        <v>8003879954</v>
      </c>
      <c r="B252">
        <v>1</v>
      </c>
      <c r="C252">
        <v>10082017</v>
      </c>
      <c r="D252">
        <v>141</v>
      </c>
      <c r="E252" t="s">
        <v>48</v>
      </c>
      <c r="F252">
        <v>2001</v>
      </c>
      <c r="G252" t="s">
        <v>791</v>
      </c>
      <c r="H252" s="1">
        <v>1000000</v>
      </c>
      <c r="I252" t="s">
        <v>26</v>
      </c>
      <c r="J252" s="1">
        <v>2500049.11</v>
      </c>
      <c r="K252" t="s">
        <v>26</v>
      </c>
      <c r="L252">
        <v>122144</v>
      </c>
      <c r="M252" t="s">
        <v>792</v>
      </c>
      <c r="O252">
        <v>1</v>
      </c>
      <c r="P252" t="s">
        <v>793</v>
      </c>
      <c r="Q252" t="s">
        <v>794</v>
      </c>
    </row>
    <row r="253" spans="1:17" x14ac:dyDescent="0.25">
      <c r="A253">
        <v>8003879954</v>
      </c>
      <c r="B253">
        <v>6</v>
      </c>
      <c r="C253">
        <v>9082017</v>
      </c>
      <c r="D253">
        <v>299</v>
      </c>
      <c r="E253" t="s">
        <v>30</v>
      </c>
      <c r="H253" s="1">
        <v>0.03</v>
      </c>
      <c r="I253" t="s">
        <v>28</v>
      </c>
      <c r="J253" s="1">
        <v>1500049.11</v>
      </c>
      <c r="K253" t="s">
        <v>26</v>
      </c>
      <c r="L253">
        <v>5638</v>
      </c>
      <c r="M253" t="s">
        <v>53</v>
      </c>
      <c r="O253">
        <v>1</v>
      </c>
    </row>
    <row r="254" spans="1:17" x14ac:dyDescent="0.25">
      <c r="A254">
        <v>8003879954</v>
      </c>
      <c r="B254">
        <v>5</v>
      </c>
      <c r="C254">
        <v>9082017</v>
      </c>
      <c r="D254">
        <v>819</v>
      </c>
      <c r="E254" t="s">
        <v>32</v>
      </c>
      <c r="H254" s="1">
        <v>0.5</v>
      </c>
      <c r="I254" t="s">
        <v>28</v>
      </c>
      <c r="J254" s="1">
        <v>1500049.14</v>
      </c>
      <c r="K254" t="s">
        <v>26</v>
      </c>
      <c r="L254">
        <v>5638</v>
      </c>
      <c r="M254" t="s">
        <v>53</v>
      </c>
      <c r="O254">
        <v>1</v>
      </c>
    </row>
    <row r="255" spans="1:17" x14ac:dyDescent="0.25">
      <c r="A255">
        <v>8003879954</v>
      </c>
      <c r="B255">
        <v>4</v>
      </c>
      <c r="C255">
        <v>9082017</v>
      </c>
      <c r="D255">
        <v>299</v>
      </c>
      <c r="E255" t="s">
        <v>30</v>
      </c>
      <c r="H255" s="1">
        <v>0.03</v>
      </c>
      <c r="I255" t="s">
        <v>28</v>
      </c>
      <c r="J255" s="1">
        <v>1500049.64</v>
      </c>
      <c r="K255" t="s">
        <v>26</v>
      </c>
      <c r="L255">
        <v>5638</v>
      </c>
      <c r="M255" t="s">
        <v>53</v>
      </c>
      <c r="O255">
        <v>1</v>
      </c>
    </row>
    <row r="256" spans="1:17" x14ac:dyDescent="0.25">
      <c r="A256">
        <v>8003879954</v>
      </c>
      <c r="B256">
        <v>3</v>
      </c>
      <c r="C256">
        <v>9082017</v>
      </c>
      <c r="D256">
        <v>819</v>
      </c>
      <c r="E256" t="s">
        <v>32</v>
      </c>
      <c r="H256" s="1">
        <v>0.5</v>
      </c>
      <c r="I256" t="s">
        <v>28</v>
      </c>
      <c r="J256" s="1">
        <v>1500049.67</v>
      </c>
      <c r="K256" t="s">
        <v>26</v>
      </c>
      <c r="L256">
        <v>5638</v>
      </c>
      <c r="M256" t="s">
        <v>53</v>
      </c>
      <c r="O256">
        <v>1</v>
      </c>
    </row>
    <row r="257" spans="1:17" x14ac:dyDescent="0.25">
      <c r="A257">
        <v>8003879954</v>
      </c>
      <c r="B257">
        <v>2</v>
      </c>
      <c r="C257">
        <v>9082017</v>
      </c>
      <c r="D257">
        <v>321</v>
      </c>
      <c r="E257" t="s">
        <v>37</v>
      </c>
      <c r="F257">
        <v>0</v>
      </c>
      <c r="G257" t="s">
        <v>795</v>
      </c>
      <c r="H257" s="1">
        <v>888.8</v>
      </c>
      <c r="I257" t="s">
        <v>28</v>
      </c>
      <c r="J257" s="1">
        <v>1500050.17</v>
      </c>
      <c r="K257" t="s">
        <v>26</v>
      </c>
      <c r="L257">
        <v>5513</v>
      </c>
      <c r="M257" t="s">
        <v>53</v>
      </c>
      <c r="O257">
        <v>1</v>
      </c>
    </row>
    <row r="258" spans="1:17" x14ac:dyDescent="0.25">
      <c r="A258">
        <v>8003879954</v>
      </c>
      <c r="B258">
        <v>1</v>
      </c>
      <c r="C258">
        <v>9082017</v>
      </c>
      <c r="D258">
        <v>323</v>
      </c>
      <c r="E258" t="s">
        <v>33</v>
      </c>
      <c r="F258">
        <v>0</v>
      </c>
      <c r="G258" t="s">
        <v>796</v>
      </c>
      <c r="H258" s="1">
        <v>21694</v>
      </c>
      <c r="I258" t="s">
        <v>28</v>
      </c>
      <c r="J258" s="1">
        <v>1500938.97</v>
      </c>
      <c r="K258" t="s">
        <v>26</v>
      </c>
      <c r="L258">
        <v>5513</v>
      </c>
      <c r="M258" t="s">
        <v>53</v>
      </c>
      <c r="O258">
        <v>1</v>
      </c>
    </row>
    <row r="259" spans="1:17" x14ac:dyDescent="0.25">
      <c r="A259">
        <v>8003879954</v>
      </c>
      <c r="B259">
        <v>7</v>
      </c>
      <c r="C259">
        <v>8082017</v>
      </c>
      <c r="D259">
        <v>299</v>
      </c>
      <c r="E259" t="s">
        <v>30</v>
      </c>
      <c r="H259" s="1">
        <v>0.03</v>
      </c>
      <c r="I259" t="s">
        <v>28</v>
      </c>
      <c r="J259" s="1">
        <v>1522632.97</v>
      </c>
      <c r="K259" t="s">
        <v>26</v>
      </c>
      <c r="L259">
        <v>5843</v>
      </c>
      <c r="M259" t="s">
        <v>53</v>
      </c>
      <c r="O259">
        <v>1</v>
      </c>
    </row>
    <row r="260" spans="1:17" x14ac:dyDescent="0.25">
      <c r="A260">
        <v>8003879954</v>
      </c>
      <c r="B260">
        <v>6</v>
      </c>
      <c r="C260">
        <v>8082017</v>
      </c>
      <c r="D260">
        <v>819</v>
      </c>
      <c r="E260" t="s">
        <v>32</v>
      </c>
      <c r="H260" s="1">
        <v>0.5</v>
      </c>
      <c r="I260" t="s">
        <v>28</v>
      </c>
      <c r="J260" s="1">
        <v>1522633</v>
      </c>
      <c r="K260" t="s">
        <v>26</v>
      </c>
      <c r="L260">
        <v>5843</v>
      </c>
      <c r="M260" t="s">
        <v>53</v>
      </c>
      <c r="O260">
        <v>1</v>
      </c>
    </row>
    <row r="261" spans="1:17" x14ac:dyDescent="0.25">
      <c r="A261">
        <v>8003879954</v>
      </c>
      <c r="B261">
        <v>5</v>
      </c>
      <c r="C261">
        <v>8082017</v>
      </c>
      <c r="D261">
        <v>299</v>
      </c>
      <c r="E261" t="s">
        <v>30</v>
      </c>
      <c r="H261" s="1">
        <v>0.03</v>
      </c>
      <c r="I261" t="s">
        <v>28</v>
      </c>
      <c r="J261" s="1">
        <v>1522633.5</v>
      </c>
      <c r="K261" t="s">
        <v>26</v>
      </c>
      <c r="L261">
        <v>5843</v>
      </c>
      <c r="M261" t="s">
        <v>53</v>
      </c>
      <c r="O261">
        <v>1</v>
      </c>
    </row>
    <row r="262" spans="1:17" x14ac:dyDescent="0.25">
      <c r="A262">
        <v>8003879954</v>
      </c>
      <c r="B262">
        <v>4</v>
      </c>
      <c r="C262">
        <v>8082017</v>
      </c>
      <c r="D262">
        <v>819</v>
      </c>
      <c r="E262" t="s">
        <v>32</v>
      </c>
      <c r="H262" s="1">
        <v>0.5</v>
      </c>
      <c r="I262" t="s">
        <v>28</v>
      </c>
      <c r="J262" s="1">
        <v>1522633.53</v>
      </c>
      <c r="K262" t="s">
        <v>26</v>
      </c>
      <c r="L262">
        <v>5843</v>
      </c>
      <c r="M262" t="s">
        <v>53</v>
      </c>
      <c r="O262">
        <v>1</v>
      </c>
    </row>
    <row r="263" spans="1:17" x14ac:dyDescent="0.25">
      <c r="A263">
        <v>8003879954</v>
      </c>
      <c r="B263">
        <v>3</v>
      </c>
      <c r="C263">
        <v>8082017</v>
      </c>
      <c r="D263">
        <v>323</v>
      </c>
      <c r="E263" t="s">
        <v>33</v>
      </c>
      <c r="F263">
        <v>0</v>
      </c>
      <c r="G263" t="s">
        <v>797</v>
      </c>
      <c r="H263" s="1">
        <v>10667.84</v>
      </c>
      <c r="I263" t="s">
        <v>28</v>
      </c>
      <c r="J263" s="1">
        <v>1522634.03</v>
      </c>
      <c r="K263" t="s">
        <v>26</v>
      </c>
      <c r="L263">
        <v>5704</v>
      </c>
      <c r="M263" t="s">
        <v>53</v>
      </c>
      <c r="O263">
        <v>1</v>
      </c>
    </row>
    <row r="264" spans="1:17" x14ac:dyDescent="0.25">
      <c r="A264">
        <v>8003879954</v>
      </c>
      <c r="B264">
        <v>2</v>
      </c>
      <c r="C264">
        <v>8082017</v>
      </c>
      <c r="D264">
        <v>321</v>
      </c>
      <c r="E264" t="s">
        <v>37</v>
      </c>
      <c r="F264">
        <v>0</v>
      </c>
      <c r="G264" t="s">
        <v>798</v>
      </c>
      <c r="H264" s="1">
        <v>3884.55</v>
      </c>
      <c r="I264" t="s">
        <v>28</v>
      </c>
      <c r="J264" s="1">
        <v>1533301.87</v>
      </c>
      <c r="K264" t="s">
        <v>26</v>
      </c>
      <c r="L264">
        <v>5704</v>
      </c>
      <c r="M264" t="s">
        <v>53</v>
      </c>
      <c r="O264">
        <v>1</v>
      </c>
    </row>
    <row r="265" spans="1:17" x14ac:dyDescent="0.25">
      <c r="A265">
        <v>8003879954</v>
      </c>
      <c r="B265">
        <v>1</v>
      </c>
      <c r="C265">
        <v>8082017</v>
      </c>
      <c r="D265">
        <v>141</v>
      </c>
      <c r="E265" t="s">
        <v>48</v>
      </c>
      <c r="F265">
        <v>2001</v>
      </c>
      <c r="G265" t="s">
        <v>799</v>
      </c>
      <c r="H265" s="1">
        <v>1000000</v>
      </c>
      <c r="I265" t="s">
        <v>26</v>
      </c>
      <c r="J265" s="1">
        <v>1537186.42</v>
      </c>
      <c r="K265" t="s">
        <v>26</v>
      </c>
      <c r="L265">
        <v>123121</v>
      </c>
      <c r="M265" t="s">
        <v>800</v>
      </c>
      <c r="O265">
        <v>1</v>
      </c>
      <c r="P265" t="s">
        <v>801</v>
      </c>
      <c r="Q265" t="s">
        <v>794</v>
      </c>
    </row>
    <row r="266" spans="1:17" x14ac:dyDescent="0.25">
      <c r="A266">
        <v>8003879954</v>
      </c>
      <c r="B266">
        <v>1</v>
      </c>
      <c r="C266">
        <v>7082017</v>
      </c>
      <c r="D266">
        <v>540</v>
      </c>
      <c r="E266" t="s">
        <v>802</v>
      </c>
      <c r="F266">
        <v>1408</v>
      </c>
      <c r="G266" t="s">
        <v>803</v>
      </c>
      <c r="H266" s="1">
        <v>54.55</v>
      </c>
      <c r="I266" t="s">
        <v>26</v>
      </c>
      <c r="J266" s="1">
        <v>537186.42000000004</v>
      </c>
      <c r="K266" t="s">
        <v>26</v>
      </c>
      <c r="L266">
        <v>154334</v>
      </c>
      <c r="M266" t="s">
        <v>53</v>
      </c>
      <c r="O266">
        <v>1</v>
      </c>
    </row>
    <row r="267" spans="1:17" x14ac:dyDescent="0.25">
      <c r="A267">
        <v>8003879954</v>
      </c>
      <c r="B267">
        <v>23</v>
      </c>
      <c r="C267">
        <v>4082017</v>
      </c>
      <c r="D267">
        <v>341</v>
      </c>
      <c r="E267" t="s">
        <v>29</v>
      </c>
      <c r="F267">
        <v>9938</v>
      </c>
      <c r="G267" t="s">
        <v>804</v>
      </c>
      <c r="H267" s="1">
        <v>1080</v>
      </c>
      <c r="I267" t="s">
        <v>28</v>
      </c>
      <c r="J267" s="1">
        <v>537131.87</v>
      </c>
      <c r="K267" t="s">
        <v>26</v>
      </c>
      <c r="L267">
        <v>180941</v>
      </c>
      <c r="M267" t="s">
        <v>805</v>
      </c>
      <c r="O267">
        <v>1</v>
      </c>
      <c r="P267" t="s">
        <v>806</v>
      </c>
      <c r="Q267" t="s">
        <v>807</v>
      </c>
    </row>
    <row r="268" spans="1:17" x14ac:dyDescent="0.25">
      <c r="A268">
        <v>8003879954</v>
      </c>
      <c r="B268">
        <v>22</v>
      </c>
      <c r="C268">
        <v>4082017</v>
      </c>
      <c r="D268">
        <v>299</v>
      </c>
      <c r="E268" t="s">
        <v>30</v>
      </c>
      <c r="F268">
        <v>9938</v>
      </c>
      <c r="G268" t="s">
        <v>804</v>
      </c>
      <c r="H268" s="1">
        <v>0.01</v>
      </c>
      <c r="I268" t="s">
        <v>28</v>
      </c>
      <c r="J268" s="1">
        <v>538211.87</v>
      </c>
      <c r="K268" t="s">
        <v>26</v>
      </c>
      <c r="L268">
        <v>180941</v>
      </c>
      <c r="M268" t="s">
        <v>808</v>
      </c>
      <c r="O268">
        <v>1</v>
      </c>
    </row>
    <row r="269" spans="1:17" x14ac:dyDescent="0.25">
      <c r="A269">
        <v>8003879954</v>
      </c>
      <c r="B269">
        <v>21</v>
      </c>
      <c r="C269">
        <v>4082017</v>
      </c>
      <c r="D269">
        <v>489</v>
      </c>
      <c r="E269" t="s">
        <v>31</v>
      </c>
      <c r="F269">
        <v>9938</v>
      </c>
      <c r="G269" t="s">
        <v>804</v>
      </c>
      <c r="H269" s="1">
        <v>0.1</v>
      </c>
      <c r="I269" t="s">
        <v>28</v>
      </c>
      <c r="J269" s="1">
        <v>538211.88</v>
      </c>
      <c r="K269" t="s">
        <v>26</v>
      </c>
      <c r="L269">
        <v>180941</v>
      </c>
      <c r="M269" t="s">
        <v>808</v>
      </c>
      <c r="O269">
        <v>1</v>
      </c>
    </row>
    <row r="270" spans="1:17" x14ac:dyDescent="0.25">
      <c r="A270">
        <v>8003879954</v>
      </c>
      <c r="B270">
        <v>20</v>
      </c>
      <c r="C270">
        <v>4082017</v>
      </c>
      <c r="D270">
        <v>341</v>
      </c>
      <c r="E270" t="s">
        <v>29</v>
      </c>
      <c r="F270">
        <v>9938</v>
      </c>
      <c r="G270" t="s">
        <v>809</v>
      </c>
      <c r="H270" s="1">
        <v>730</v>
      </c>
      <c r="I270" t="s">
        <v>28</v>
      </c>
      <c r="J270" s="1">
        <v>538211.98</v>
      </c>
      <c r="K270" t="s">
        <v>26</v>
      </c>
      <c r="L270">
        <v>180939</v>
      </c>
      <c r="M270" t="s">
        <v>810</v>
      </c>
      <c r="O270">
        <v>1</v>
      </c>
      <c r="P270" t="s">
        <v>811</v>
      </c>
      <c r="Q270" t="s">
        <v>812</v>
      </c>
    </row>
    <row r="271" spans="1:17" x14ac:dyDescent="0.25">
      <c r="A271">
        <v>8003879954</v>
      </c>
      <c r="B271">
        <v>19</v>
      </c>
      <c r="C271">
        <v>4082017</v>
      </c>
      <c r="D271">
        <v>299</v>
      </c>
      <c r="E271" t="s">
        <v>30</v>
      </c>
      <c r="F271">
        <v>9938</v>
      </c>
      <c r="G271" t="s">
        <v>809</v>
      </c>
      <c r="H271" s="1">
        <v>0.01</v>
      </c>
      <c r="I271" t="s">
        <v>28</v>
      </c>
      <c r="J271" s="1">
        <v>538941.98</v>
      </c>
      <c r="K271" t="s">
        <v>26</v>
      </c>
      <c r="L271">
        <v>180939</v>
      </c>
      <c r="M271" t="s">
        <v>813</v>
      </c>
      <c r="O271">
        <v>1</v>
      </c>
    </row>
    <row r="272" spans="1:17" x14ac:dyDescent="0.25">
      <c r="A272">
        <v>8003879954</v>
      </c>
      <c r="B272">
        <v>18</v>
      </c>
      <c r="C272">
        <v>4082017</v>
      </c>
      <c r="D272">
        <v>489</v>
      </c>
      <c r="E272" t="s">
        <v>31</v>
      </c>
      <c r="F272">
        <v>9938</v>
      </c>
      <c r="G272" t="s">
        <v>809</v>
      </c>
      <c r="H272" s="1">
        <v>0.1</v>
      </c>
      <c r="I272" t="s">
        <v>28</v>
      </c>
      <c r="J272" s="1">
        <v>538941.99</v>
      </c>
      <c r="K272" t="s">
        <v>26</v>
      </c>
      <c r="L272">
        <v>180939</v>
      </c>
      <c r="M272" t="s">
        <v>813</v>
      </c>
      <c r="O272">
        <v>1</v>
      </c>
    </row>
    <row r="273" spans="1:17" x14ac:dyDescent="0.25">
      <c r="A273">
        <v>8003879954</v>
      </c>
      <c r="B273">
        <v>17</v>
      </c>
      <c r="C273">
        <v>4082017</v>
      </c>
      <c r="D273">
        <v>341</v>
      </c>
      <c r="E273" t="s">
        <v>29</v>
      </c>
      <c r="F273">
        <v>9938</v>
      </c>
      <c r="G273" t="s">
        <v>814</v>
      </c>
      <c r="H273" s="1">
        <v>2000</v>
      </c>
      <c r="I273" t="s">
        <v>28</v>
      </c>
      <c r="J273" s="1">
        <v>538942.09</v>
      </c>
      <c r="K273" t="s">
        <v>26</v>
      </c>
      <c r="L273">
        <v>180940</v>
      </c>
      <c r="M273" t="s">
        <v>815</v>
      </c>
      <c r="O273">
        <v>1</v>
      </c>
      <c r="P273" t="s">
        <v>816</v>
      </c>
      <c r="Q273" t="s">
        <v>184</v>
      </c>
    </row>
    <row r="274" spans="1:17" x14ac:dyDescent="0.25">
      <c r="A274">
        <v>8003879954</v>
      </c>
      <c r="B274">
        <v>16</v>
      </c>
      <c r="C274">
        <v>4082017</v>
      </c>
      <c r="D274">
        <v>299</v>
      </c>
      <c r="E274" t="s">
        <v>30</v>
      </c>
      <c r="F274">
        <v>9938</v>
      </c>
      <c r="G274" t="s">
        <v>814</v>
      </c>
      <c r="H274" s="1">
        <v>0.01</v>
      </c>
      <c r="I274" t="s">
        <v>28</v>
      </c>
      <c r="J274" s="1">
        <v>540942.09</v>
      </c>
      <c r="K274" t="s">
        <v>26</v>
      </c>
      <c r="L274">
        <v>180940</v>
      </c>
      <c r="M274" t="s">
        <v>817</v>
      </c>
      <c r="O274">
        <v>1</v>
      </c>
    </row>
    <row r="275" spans="1:17" x14ac:dyDescent="0.25">
      <c r="A275">
        <v>8003879954</v>
      </c>
      <c r="B275">
        <v>15</v>
      </c>
      <c r="C275">
        <v>4082017</v>
      </c>
      <c r="D275">
        <v>489</v>
      </c>
      <c r="E275" t="s">
        <v>31</v>
      </c>
      <c r="F275">
        <v>9938</v>
      </c>
      <c r="G275" t="s">
        <v>814</v>
      </c>
      <c r="H275" s="1">
        <v>0.1</v>
      </c>
      <c r="I275" t="s">
        <v>28</v>
      </c>
      <c r="J275" s="1">
        <v>540942.1</v>
      </c>
      <c r="K275" t="s">
        <v>26</v>
      </c>
      <c r="L275">
        <v>180940</v>
      </c>
      <c r="M275" t="s">
        <v>817</v>
      </c>
      <c r="O275">
        <v>1</v>
      </c>
    </row>
    <row r="276" spans="1:17" x14ac:dyDescent="0.25">
      <c r="A276">
        <v>8003879954</v>
      </c>
      <c r="B276">
        <v>14</v>
      </c>
      <c r="C276">
        <v>4082017</v>
      </c>
      <c r="D276">
        <v>341</v>
      </c>
      <c r="E276" t="s">
        <v>29</v>
      </c>
      <c r="F276">
        <v>9938</v>
      </c>
      <c r="G276" t="s">
        <v>818</v>
      </c>
      <c r="H276" s="1">
        <v>2500</v>
      </c>
      <c r="I276" t="s">
        <v>28</v>
      </c>
      <c r="J276" s="1">
        <v>540942.19999999995</v>
      </c>
      <c r="K276" t="s">
        <v>26</v>
      </c>
      <c r="L276">
        <v>180940</v>
      </c>
      <c r="M276" t="s">
        <v>139</v>
      </c>
      <c r="O276">
        <v>1</v>
      </c>
      <c r="P276" t="s">
        <v>819</v>
      </c>
      <c r="Q276" t="s">
        <v>820</v>
      </c>
    </row>
    <row r="277" spans="1:17" x14ac:dyDescent="0.25">
      <c r="A277">
        <v>8003879954</v>
      </c>
      <c r="B277">
        <v>13</v>
      </c>
      <c r="C277">
        <v>4082017</v>
      </c>
      <c r="D277">
        <v>299</v>
      </c>
      <c r="E277" t="s">
        <v>30</v>
      </c>
      <c r="F277">
        <v>9938</v>
      </c>
      <c r="G277" t="s">
        <v>818</v>
      </c>
      <c r="H277" s="1">
        <v>0.01</v>
      </c>
      <c r="I277" t="s">
        <v>28</v>
      </c>
      <c r="J277" s="1">
        <v>543442.19999999995</v>
      </c>
      <c r="K277" t="s">
        <v>26</v>
      </c>
      <c r="L277">
        <v>180940</v>
      </c>
      <c r="M277" t="s">
        <v>821</v>
      </c>
      <c r="O277">
        <v>1</v>
      </c>
    </row>
    <row r="278" spans="1:17" x14ac:dyDescent="0.25">
      <c r="A278">
        <v>8003879954</v>
      </c>
      <c r="B278">
        <v>12</v>
      </c>
      <c r="C278">
        <v>4082017</v>
      </c>
      <c r="D278">
        <v>489</v>
      </c>
      <c r="E278" t="s">
        <v>31</v>
      </c>
      <c r="F278">
        <v>9938</v>
      </c>
      <c r="G278" t="s">
        <v>818</v>
      </c>
      <c r="H278" s="1">
        <v>0.1</v>
      </c>
      <c r="I278" t="s">
        <v>28</v>
      </c>
      <c r="J278" s="1">
        <v>543442.21</v>
      </c>
      <c r="K278" t="s">
        <v>26</v>
      </c>
      <c r="L278">
        <v>180940</v>
      </c>
      <c r="M278" t="s">
        <v>821</v>
      </c>
      <c r="O278">
        <v>1</v>
      </c>
    </row>
    <row r="279" spans="1:17" x14ac:dyDescent="0.25">
      <c r="A279">
        <v>8003879954</v>
      </c>
      <c r="B279">
        <v>11</v>
      </c>
      <c r="C279">
        <v>4082017</v>
      </c>
      <c r="D279">
        <v>345</v>
      </c>
      <c r="E279" t="s">
        <v>27</v>
      </c>
      <c r="F279">
        <v>9938</v>
      </c>
      <c r="G279" t="s">
        <v>822</v>
      </c>
      <c r="H279" s="1">
        <v>2256.75</v>
      </c>
      <c r="I279" t="s">
        <v>28</v>
      </c>
      <c r="J279" s="1">
        <v>543442.31000000006</v>
      </c>
      <c r="K279" t="s">
        <v>26</v>
      </c>
      <c r="L279">
        <v>180940</v>
      </c>
      <c r="M279" t="s">
        <v>823</v>
      </c>
      <c r="O279">
        <v>1</v>
      </c>
      <c r="P279" t="s">
        <v>824</v>
      </c>
      <c r="Q279" t="s">
        <v>74</v>
      </c>
    </row>
    <row r="280" spans="1:17" x14ac:dyDescent="0.25">
      <c r="A280">
        <v>8003879954</v>
      </c>
      <c r="B280">
        <v>10</v>
      </c>
      <c r="C280">
        <v>4082017</v>
      </c>
      <c r="D280">
        <v>341</v>
      </c>
      <c r="E280" t="s">
        <v>29</v>
      </c>
      <c r="F280">
        <v>9938</v>
      </c>
      <c r="G280" t="s">
        <v>825</v>
      </c>
      <c r="H280" s="1">
        <v>3600</v>
      </c>
      <c r="I280" t="s">
        <v>28</v>
      </c>
      <c r="J280" s="1">
        <v>545699.06000000006</v>
      </c>
      <c r="K280" t="s">
        <v>26</v>
      </c>
      <c r="L280">
        <v>180939</v>
      </c>
      <c r="M280" t="s">
        <v>826</v>
      </c>
      <c r="O280">
        <v>1</v>
      </c>
      <c r="P280" t="s">
        <v>827</v>
      </c>
      <c r="Q280" t="s">
        <v>828</v>
      </c>
    </row>
    <row r="281" spans="1:17" x14ac:dyDescent="0.25">
      <c r="A281">
        <v>8003879954</v>
      </c>
      <c r="B281">
        <v>9</v>
      </c>
      <c r="C281">
        <v>4082017</v>
      </c>
      <c r="D281">
        <v>299</v>
      </c>
      <c r="E281" t="s">
        <v>30</v>
      </c>
      <c r="F281">
        <v>9938</v>
      </c>
      <c r="G281" t="s">
        <v>825</v>
      </c>
      <c r="H281" s="1">
        <v>0.01</v>
      </c>
      <c r="I281" t="s">
        <v>28</v>
      </c>
      <c r="J281" s="1">
        <v>549299.06000000006</v>
      </c>
      <c r="K281" t="s">
        <v>26</v>
      </c>
      <c r="L281">
        <v>180939</v>
      </c>
      <c r="M281" t="s">
        <v>829</v>
      </c>
      <c r="O281">
        <v>1</v>
      </c>
    </row>
    <row r="282" spans="1:17" x14ac:dyDescent="0.25">
      <c r="A282">
        <v>8003879954</v>
      </c>
      <c r="B282">
        <v>8</v>
      </c>
      <c r="C282">
        <v>4082017</v>
      </c>
      <c r="D282">
        <v>489</v>
      </c>
      <c r="E282" t="s">
        <v>31</v>
      </c>
      <c r="F282">
        <v>9938</v>
      </c>
      <c r="G282" t="s">
        <v>825</v>
      </c>
      <c r="H282" s="1">
        <v>0.1</v>
      </c>
      <c r="I282" t="s">
        <v>28</v>
      </c>
      <c r="J282" s="1">
        <v>549299.06999999995</v>
      </c>
      <c r="K282" t="s">
        <v>26</v>
      </c>
      <c r="L282">
        <v>180939</v>
      </c>
      <c r="M282" t="s">
        <v>829</v>
      </c>
      <c r="O282">
        <v>1</v>
      </c>
    </row>
    <row r="283" spans="1:17" x14ac:dyDescent="0.25">
      <c r="A283">
        <v>8003879954</v>
      </c>
      <c r="B283">
        <v>7</v>
      </c>
      <c r="C283">
        <v>4082017</v>
      </c>
      <c r="D283">
        <v>341</v>
      </c>
      <c r="E283" t="s">
        <v>29</v>
      </c>
      <c r="F283">
        <v>9938</v>
      </c>
      <c r="G283" t="s">
        <v>830</v>
      </c>
      <c r="H283" s="1">
        <v>1780.8</v>
      </c>
      <c r="I283" t="s">
        <v>28</v>
      </c>
      <c r="J283" s="1">
        <v>549299.17000000004</v>
      </c>
      <c r="K283" t="s">
        <v>26</v>
      </c>
      <c r="L283">
        <v>180939</v>
      </c>
      <c r="M283" t="s">
        <v>831</v>
      </c>
      <c r="O283">
        <v>1</v>
      </c>
      <c r="P283" t="s">
        <v>832</v>
      </c>
      <c r="Q283" t="s">
        <v>833</v>
      </c>
    </row>
    <row r="284" spans="1:17" x14ac:dyDescent="0.25">
      <c r="A284">
        <v>8003879954</v>
      </c>
      <c r="B284">
        <v>6</v>
      </c>
      <c r="C284">
        <v>4082017</v>
      </c>
      <c r="D284">
        <v>299</v>
      </c>
      <c r="E284" t="s">
        <v>30</v>
      </c>
      <c r="F284">
        <v>9938</v>
      </c>
      <c r="G284" t="s">
        <v>830</v>
      </c>
      <c r="H284" s="1">
        <v>0.01</v>
      </c>
      <c r="I284" t="s">
        <v>28</v>
      </c>
      <c r="J284" s="1">
        <v>551079.97</v>
      </c>
      <c r="K284" t="s">
        <v>26</v>
      </c>
      <c r="L284">
        <v>180939</v>
      </c>
      <c r="M284" t="s">
        <v>834</v>
      </c>
      <c r="O284">
        <v>1</v>
      </c>
    </row>
    <row r="285" spans="1:17" x14ac:dyDescent="0.25">
      <c r="A285">
        <v>8003879954</v>
      </c>
      <c r="B285">
        <v>5</v>
      </c>
      <c r="C285">
        <v>4082017</v>
      </c>
      <c r="D285">
        <v>489</v>
      </c>
      <c r="E285" t="s">
        <v>31</v>
      </c>
      <c r="F285">
        <v>9938</v>
      </c>
      <c r="G285" t="s">
        <v>830</v>
      </c>
      <c r="H285" s="1">
        <v>0.1</v>
      </c>
      <c r="I285" t="s">
        <v>28</v>
      </c>
      <c r="J285" s="1">
        <v>551079.98</v>
      </c>
      <c r="K285" t="s">
        <v>26</v>
      </c>
      <c r="L285">
        <v>180939</v>
      </c>
      <c r="M285" t="s">
        <v>834</v>
      </c>
      <c r="O285">
        <v>1</v>
      </c>
    </row>
    <row r="286" spans="1:17" x14ac:dyDescent="0.25">
      <c r="A286">
        <v>8003879954</v>
      </c>
      <c r="B286">
        <v>4</v>
      </c>
      <c r="C286">
        <v>4082017</v>
      </c>
      <c r="D286">
        <v>345</v>
      </c>
      <c r="E286" t="s">
        <v>27</v>
      </c>
      <c r="F286">
        <v>9938</v>
      </c>
      <c r="G286" t="s">
        <v>835</v>
      </c>
      <c r="H286" s="1">
        <v>115.3</v>
      </c>
      <c r="I286" t="s">
        <v>28</v>
      </c>
      <c r="J286" s="1">
        <v>551080.07999999996</v>
      </c>
      <c r="K286" t="s">
        <v>26</v>
      </c>
      <c r="L286">
        <v>180939</v>
      </c>
      <c r="M286" t="s">
        <v>836</v>
      </c>
      <c r="O286">
        <v>1</v>
      </c>
      <c r="P286" t="s">
        <v>837</v>
      </c>
      <c r="Q286" t="s">
        <v>74</v>
      </c>
    </row>
    <row r="287" spans="1:17" x14ac:dyDescent="0.25">
      <c r="A287">
        <v>8003879954</v>
      </c>
      <c r="B287">
        <v>3</v>
      </c>
      <c r="C287">
        <v>4082017</v>
      </c>
      <c r="D287">
        <v>299</v>
      </c>
      <c r="E287" t="s">
        <v>44</v>
      </c>
      <c r="F287">
        <v>72</v>
      </c>
      <c r="G287" t="s">
        <v>838</v>
      </c>
      <c r="H287" s="1">
        <v>1.8</v>
      </c>
      <c r="I287" t="s">
        <v>28</v>
      </c>
      <c r="J287" s="1">
        <v>551195.38</v>
      </c>
      <c r="K287" t="s">
        <v>26</v>
      </c>
      <c r="L287">
        <v>173242</v>
      </c>
      <c r="M287" t="s">
        <v>839</v>
      </c>
      <c r="O287">
        <v>1</v>
      </c>
    </row>
    <row r="288" spans="1:17" x14ac:dyDescent="0.25">
      <c r="A288">
        <v>8003879954</v>
      </c>
      <c r="B288">
        <v>2</v>
      </c>
      <c r="C288">
        <v>4082017</v>
      </c>
      <c r="D288">
        <v>415</v>
      </c>
      <c r="E288" t="s">
        <v>34</v>
      </c>
      <c r="F288">
        <v>72</v>
      </c>
      <c r="G288" t="s">
        <v>838</v>
      </c>
      <c r="H288" s="1">
        <v>30</v>
      </c>
      <c r="I288" t="s">
        <v>28</v>
      </c>
      <c r="J288" s="1">
        <v>551197.18000000005</v>
      </c>
      <c r="K288" t="s">
        <v>26</v>
      </c>
      <c r="L288">
        <v>173242</v>
      </c>
      <c r="M288" t="s">
        <v>839</v>
      </c>
      <c r="O288">
        <v>1</v>
      </c>
    </row>
    <row r="289" spans="1:15" x14ac:dyDescent="0.25">
      <c r="A289">
        <v>8003879954</v>
      </c>
      <c r="B289">
        <v>1</v>
      </c>
      <c r="C289">
        <v>4082017</v>
      </c>
      <c r="D289">
        <v>349</v>
      </c>
      <c r="E289" t="s">
        <v>35</v>
      </c>
      <c r="F289">
        <v>72</v>
      </c>
      <c r="G289" t="s">
        <v>838</v>
      </c>
      <c r="H289" s="1">
        <v>58344.3</v>
      </c>
      <c r="I289" t="s">
        <v>28</v>
      </c>
      <c r="J289" s="1">
        <v>551227.18000000005</v>
      </c>
      <c r="K289" t="s">
        <v>26</v>
      </c>
      <c r="L289">
        <v>173242</v>
      </c>
      <c r="M289" t="s">
        <v>839</v>
      </c>
      <c r="O289">
        <v>1</v>
      </c>
    </row>
    <row r="290" spans="1:15" x14ac:dyDescent="0.25">
      <c r="A290">
        <v>8003879954</v>
      </c>
      <c r="B290">
        <v>1</v>
      </c>
      <c r="C290">
        <v>3082017</v>
      </c>
      <c r="D290">
        <v>123</v>
      </c>
      <c r="E290" t="s">
        <v>38</v>
      </c>
      <c r="F290">
        <v>2007</v>
      </c>
      <c r="G290" t="s">
        <v>669</v>
      </c>
      <c r="H290" s="1">
        <v>2000</v>
      </c>
      <c r="I290" t="s">
        <v>26</v>
      </c>
      <c r="J290" s="1">
        <v>609571.48</v>
      </c>
      <c r="K290" t="s">
        <v>26</v>
      </c>
      <c r="M290">
        <v>1</v>
      </c>
    </row>
    <row r="291" spans="1:15" x14ac:dyDescent="0.25">
      <c r="A291">
        <v>8003879954</v>
      </c>
      <c r="B291">
        <v>9</v>
      </c>
      <c r="C291">
        <v>2082017</v>
      </c>
      <c r="D291">
        <v>345</v>
      </c>
      <c r="E291" t="s">
        <v>27</v>
      </c>
      <c r="F291">
        <v>9938</v>
      </c>
      <c r="G291" t="s">
        <v>670</v>
      </c>
      <c r="H291" s="1">
        <v>270</v>
      </c>
      <c r="I291" t="s">
        <v>28</v>
      </c>
      <c r="J291" s="1">
        <v>607571.48</v>
      </c>
      <c r="K291" t="s">
        <v>26</v>
      </c>
      <c r="M291">
        <v>1</v>
      </c>
    </row>
    <row r="292" spans="1:15" x14ac:dyDescent="0.25">
      <c r="A292">
        <v>8003879954</v>
      </c>
      <c r="B292">
        <v>8</v>
      </c>
      <c r="C292">
        <v>2082017</v>
      </c>
      <c r="D292">
        <v>345</v>
      </c>
      <c r="E292" t="s">
        <v>27</v>
      </c>
      <c r="F292">
        <v>9938</v>
      </c>
      <c r="G292" t="s">
        <v>671</v>
      </c>
      <c r="H292" s="1">
        <v>990.7</v>
      </c>
      <c r="I292" t="s">
        <v>28</v>
      </c>
      <c r="J292" s="1">
        <v>607841.48</v>
      </c>
      <c r="K292" t="s">
        <v>26</v>
      </c>
      <c r="M292">
        <v>1</v>
      </c>
    </row>
    <row r="293" spans="1:15" x14ac:dyDescent="0.25">
      <c r="A293">
        <v>8003879954</v>
      </c>
      <c r="B293">
        <v>7</v>
      </c>
      <c r="C293">
        <v>2082017</v>
      </c>
      <c r="D293">
        <v>341</v>
      </c>
      <c r="E293" t="s">
        <v>29</v>
      </c>
      <c r="F293">
        <v>9938</v>
      </c>
      <c r="G293" t="s">
        <v>672</v>
      </c>
      <c r="H293" s="1">
        <v>362.09</v>
      </c>
      <c r="I293" t="s">
        <v>28</v>
      </c>
      <c r="J293" s="1">
        <v>608832.18000000005</v>
      </c>
      <c r="K293" t="s">
        <v>26</v>
      </c>
      <c r="M293">
        <v>1</v>
      </c>
    </row>
    <row r="294" spans="1:15" x14ac:dyDescent="0.25">
      <c r="A294">
        <v>8003879954</v>
      </c>
      <c r="B294">
        <v>6</v>
      </c>
      <c r="C294">
        <v>2082017</v>
      </c>
      <c r="D294">
        <v>299</v>
      </c>
      <c r="E294" t="s">
        <v>30</v>
      </c>
      <c r="F294">
        <v>9938</v>
      </c>
      <c r="G294" t="s">
        <v>672</v>
      </c>
      <c r="H294" s="1">
        <v>0.01</v>
      </c>
      <c r="I294" t="s">
        <v>28</v>
      </c>
      <c r="J294" s="1">
        <v>609194.27</v>
      </c>
      <c r="K294" t="s">
        <v>26</v>
      </c>
      <c r="M294">
        <v>1</v>
      </c>
    </row>
    <row r="295" spans="1:15" x14ac:dyDescent="0.25">
      <c r="A295">
        <v>8003879954</v>
      </c>
      <c r="B295">
        <v>5</v>
      </c>
      <c r="C295">
        <v>2082017</v>
      </c>
      <c r="D295">
        <v>489</v>
      </c>
      <c r="E295" t="s">
        <v>31</v>
      </c>
      <c r="F295">
        <v>9938</v>
      </c>
      <c r="G295" t="s">
        <v>672</v>
      </c>
      <c r="H295" s="1">
        <v>0.1</v>
      </c>
      <c r="I295" t="s">
        <v>28</v>
      </c>
      <c r="J295" s="1">
        <v>609194.28</v>
      </c>
      <c r="K295" t="s">
        <v>26</v>
      </c>
      <c r="M295">
        <v>1</v>
      </c>
    </row>
    <row r="296" spans="1:15" x14ac:dyDescent="0.25">
      <c r="A296">
        <v>8003879954</v>
      </c>
      <c r="B296">
        <v>4</v>
      </c>
      <c r="C296">
        <v>2082017</v>
      </c>
      <c r="D296">
        <v>60</v>
      </c>
      <c r="E296" t="s">
        <v>43</v>
      </c>
      <c r="F296">
        <v>9938</v>
      </c>
      <c r="G296" t="s">
        <v>673</v>
      </c>
      <c r="H296" s="1">
        <v>122</v>
      </c>
      <c r="I296" t="s">
        <v>28</v>
      </c>
      <c r="J296" s="1">
        <v>609194.38</v>
      </c>
      <c r="K296" t="s">
        <v>26</v>
      </c>
      <c r="M296">
        <v>1</v>
      </c>
    </row>
    <row r="297" spans="1:15" x14ac:dyDescent="0.25">
      <c r="A297">
        <v>8003879954</v>
      </c>
      <c r="B297">
        <v>3</v>
      </c>
      <c r="C297">
        <v>2082017</v>
      </c>
      <c r="D297">
        <v>341</v>
      </c>
      <c r="E297" t="s">
        <v>29</v>
      </c>
      <c r="F297">
        <v>9938</v>
      </c>
      <c r="G297" t="s">
        <v>674</v>
      </c>
      <c r="H297" s="1">
        <v>327.39999999999998</v>
      </c>
      <c r="I297" t="s">
        <v>28</v>
      </c>
      <c r="J297" s="1">
        <v>609316.38</v>
      </c>
      <c r="K297" t="s">
        <v>26</v>
      </c>
      <c r="M297">
        <v>1</v>
      </c>
    </row>
    <row r="298" spans="1:15" x14ac:dyDescent="0.25">
      <c r="A298">
        <v>8003879954</v>
      </c>
      <c r="B298">
        <v>2</v>
      </c>
      <c r="C298">
        <v>2082017</v>
      </c>
      <c r="D298">
        <v>299</v>
      </c>
      <c r="E298" t="s">
        <v>30</v>
      </c>
      <c r="F298">
        <v>9938</v>
      </c>
      <c r="G298" t="s">
        <v>674</v>
      </c>
      <c r="H298" s="1">
        <v>0.01</v>
      </c>
      <c r="I298" t="s">
        <v>28</v>
      </c>
      <c r="J298" s="1">
        <v>609643.78</v>
      </c>
      <c r="K298" t="s">
        <v>26</v>
      </c>
      <c r="M298">
        <v>1</v>
      </c>
    </row>
    <row r="299" spans="1:15" x14ac:dyDescent="0.25">
      <c r="A299">
        <v>8003879954</v>
      </c>
      <c r="B299">
        <v>1</v>
      </c>
      <c r="C299">
        <v>2082017</v>
      </c>
      <c r="D299">
        <v>489</v>
      </c>
      <c r="E299" t="s">
        <v>31</v>
      </c>
      <c r="F299">
        <v>9938</v>
      </c>
      <c r="G299" t="s">
        <v>674</v>
      </c>
      <c r="H299" s="1">
        <v>0.1</v>
      </c>
      <c r="I299" t="s">
        <v>28</v>
      </c>
      <c r="J299" s="1">
        <v>609643.79</v>
      </c>
      <c r="K299" t="s">
        <v>26</v>
      </c>
      <c r="M299">
        <v>1</v>
      </c>
    </row>
    <row r="302" spans="1:15" x14ac:dyDescent="0.25">
      <c r="H302" s="1">
        <f>SUBTOTAL(9,H9:H299)</f>
        <v>5278133.5999999903</v>
      </c>
    </row>
  </sheetData>
  <autoFilter ref="A7:R30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03"/>
  <sheetViews>
    <sheetView topLeftCell="A169" workbookViewId="0">
      <selection activeCell="H193" sqref="H193"/>
    </sheetView>
  </sheetViews>
  <sheetFormatPr defaultRowHeight="15" x14ac:dyDescent="0.25"/>
  <cols>
    <col min="1" max="1" width="11" style="9" bestFit="1" customWidth="1"/>
    <col min="2" max="4" width="9.140625" style="9"/>
    <col min="5" max="5" width="29.5703125" style="9" bestFit="1" customWidth="1"/>
    <col min="6" max="6" width="9.140625" style="9"/>
    <col min="7" max="7" width="21.5703125" style="9" customWidth="1"/>
    <col min="8" max="8" width="14" style="10" customWidth="1"/>
    <col min="9" max="9" width="10.5703125" style="9" customWidth="1"/>
    <col min="10" max="10" width="13.28515625" style="10" bestFit="1" customWidth="1"/>
    <col min="11" max="11" width="11.5703125" style="9" bestFit="1" customWidth="1"/>
    <col min="12" max="12" width="9.140625" style="9"/>
    <col min="13" max="13" width="47.7109375" style="9" bestFit="1" customWidth="1"/>
    <col min="14" max="16" width="9.140625" style="9"/>
    <col min="17" max="17" width="23.7109375" style="9" bestFit="1" customWidth="1"/>
    <col min="18" max="16384" width="9.140625" style="9"/>
  </cols>
  <sheetData>
    <row r="1" spans="1:18" x14ac:dyDescent="0.25">
      <c r="A1" s="9" t="s">
        <v>0</v>
      </c>
    </row>
    <row r="2" spans="1:18" x14ac:dyDescent="0.25">
      <c r="A2" s="9" t="s">
        <v>1</v>
      </c>
      <c r="B2" s="9" t="s">
        <v>2</v>
      </c>
    </row>
    <row r="3" spans="1:18" x14ac:dyDescent="0.25">
      <c r="A3" s="9" t="s">
        <v>3</v>
      </c>
    </row>
    <row r="4" spans="1:18" x14ac:dyDescent="0.25">
      <c r="A4" s="9" t="s">
        <v>840</v>
      </c>
    </row>
    <row r="5" spans="1:18" x14ac:dyDescent="0.25">
      <c r="A5" s="9" t="s">
        <v>841</v>
      </c>
    </row>
    <row r="6" spans="1:18" x14ac:dyDescent="0.25">
      <c r="A6" s="9" t="s">
        <v>842</v>
      </c>
    </row>
    <row r="7" spans="1:18" x14ac:dyDescent="0.25">
      <c r="A7" s="9" t="s">
        <v>7</v>
      </c>
      <c r="B7" s="9" t="s">
        <v>8</v>
      </c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10" t="s">
        <v>14</v>
      </c>
      <c r="I7" s="9" t="s">
        <v>15</v>
      </c>
      <c r="J7" s="10" t="s">
        <v>16</v>
      </c>
      <c r="K7" s="9" t="s">
        <v>17</v>
      </c>
      <c r="L7" s="9" t="s">
        <v>18</v>
      </c>
      <c r="M7" s="9" t="s">
        <v>19</v>
      </c>
      <c r="N7" s="9" t="s">
        <v>20</v>
      </c>
      <c r="O7" s="9" t="s">
        <v>21</v>
      </c>
      <c r="P7" s="9" t="s">
        <v>22</v>
      </c>
      <c r="Q7" s="9" t="s">
        <v>23</v>
      </c>
      <c r="R7" s="9" t="s">
        <v>24</v>
      </c>
    </row>
    <row r="8" spans="1:18" hidden="1" x14ac:dyDescent="0.25"/>
    <row r="9" spans="1:18" hidden="1" x14ac:dyDescent="0.25">
      <c r="A9" s="13">
        <v>8003879954</v>
      </c>
      <c r="B9" s="13">
        <v>7</v>
      </c>
      <c r="C9" s="13">
        <v>30092017</v>
      </c>
      <c r="D9" s="13">
        <v>141</v>
      </c>
      <c r="E9" s="13" t="s">
        <v>957</v>
      </c>
      <c r="F9" s="13">
        <v>4810</v>
      </c>
      <c r="G9" s="13" t="s">
        <v>1058</v>
      </c>
      <c r="H9" s="14">
        <v>7619</v>
      </c>
      <c r="I9" s="13" t="s">
        <v>26</v>
      </c>
      <c r="J9" s="14">
        <v>1196914.45</v>
      </c>
      <c r="K9" s="13" t="s">
        <v>26</v>
      </c>
      <c r="L9" s="13">
        <v>164207</v>
      </c>
      <c r="M9" s="13" t="s">
        <v>53</v>
      </c>
      <c r="N9" s="13"/>
      <c r="O9" s="13">
        <v>1</v>
      </c>
      <c r="P9" s="13" t="s">
        <v>958</v>
      </c>
      <c r="Q9" s="13" t="s">
        <v>959</v>
      </c>
      <c r="R9" s="13" t="s">
        <v>960</v>
      </c>
    </row>
    <row r="10" spans="1:18" x14ac:dyDescent="0.25">
      <c r="A10" s="13">
        <v>8003879954</v>
      </c>
      <c r="B10" s="13">
        <v>6</v>
      </c>
      <c r="C10" s="13">
        <v>30092017</v>
      </c>
      <c r="D10" s="13">
        <v>341</v>
      </c>
      <c r="E10" s="13" t="s">
        <v>29</v>
      </c>
      <c r="F10" s="13">
        <v>9938</v>
      </c>
      <c r="G10" s="13" t="s">
        <v>1059</v>
      </c>
      <c r="H10" s="14">
        <v>362.09</v>
      </c>
      <c r="I10" s="13" t="s">
        <v>28</v>
      </c>
      <c r="J10" s="14">
        <v>1189295.45</v>
      </c>
      <c r="K10" s="13" t="s">
        <v>26</v>
      </c>
      <c r="L10" s="13">
        <v>81711</v>
      </c>
      <c r="M10" s="13" t="s">
        <v>353</v>
      </c>
      <c r="N10" s="13"/>
      <c r="O10" s="13">
        <v>1</v>
      </c>
      <c r="P10" s="13" t="s">
        <v>961</v>
      </c>
      <c r="Q10" s="13" t="s">
        <v>355</v>
      </c>
      <c r="R10" s="13"/>
    </row>
    <row r="11" spans="1:18" x14ac:dyDescent="0.25">
      <c r="A11" s="13">
        <v>8003879954</v>
      </c>
      <c r="B11" s="13">
        <v>5</v>
      </c>
      <c r="C11" s="13">
        <v>30092017</v>
      </c>
      <c r="D11" s="13">
        <v>299</v>
      </c>
      <c r="E11" s="13" t="s">
        <v>30</v>
      </c>
      <c r="F11" s="13">
        <v>9938</v>
      </c>
      <c r="G11" s="13" t="s">
        <v>1059</v>
      </c>
      <c r="H11" s="14">
        <v>0.01</v>
      </c>
      <c r="I11" s="13" t="s">
        <v>28</v>
      </c>
      <c r="J11" s="14">
        <v>1189657.54</v>
      </c>
      <c r="K11" s="13" t="s">
        <v>26</v>
      </c>
      <c r="L11" s="13">
        <v>81711</v>
      </c>
      <c r="M11" s="13" t="s">
        <v>962</v>
      </c>
      <c r="N11" s="13"/>
      <c r="O11" s="13">
        <v>1</v>
      </c>
      <c r="P11" s="13"/>
      <c r="Q11" s="13"/>
      <c r="R11" s="13"/>
    </row>
    <row r="12" spans="1:18" x14ac:dyDescent="0.25">
      <c r="A12" s="13">
        <v>8003879954</v>
      </c>
      <c r="B12" s="13">
        <v>4</v>
      </c>
      <c r="C12" s="13">
        <v>30092017</v>
      </c>
      <c r="D12" s="13">
        <v>489</v>
      </c>
      <c r="E12" s="13" t="s">
        <v>31</v>
      </c>
      <c r="F12" s="13">
        <v>9938</v>
      </c>
      <c r="G12" s="13" t="s">
        <v>1059</v>
      </c>
      <c r="H12" s="14">
        <v>0.1</v>
      </c>
      <c r="I12" s="13" t="s">
        <v>28</v>
      </c>
      <c r="J12" s="14">
        <v>1189657.55</v>
      </c>
      <c r="K12" s="13" t="s">
        <v>26</v>
      </c>
      <c r="L12" s="13">
        <v>81711</v>
      </c>
      <c r="M12" s="13" t="s">
        <v>962</v>
      </c>
      <c r="N12" s="13"/>
      <c r="O12" s="13">
        <v>1</v>
      </c>
      <c r="P12" s="13"/>
      <c r="Q12" s="13"/>
      <c r="R12" s="13"/>
    </row>
    <row r="13" spans="1:18" x14ac:dyDescent="0.25">
      <c r="A13" s="13">
        <v>8003879954</v>
      </c>
      <c r="B13" s="13">
        <v>3</v>
      </c>
      <c r="C13" s="13">
        <v>30092017</v>
      </c>
      <c r="D13" s="13">
        <v>299</v>
      </c>
      <c r="E13" s="13" t="s">
        <v>30</v>
      </c>
      <c r="F13" s="13">
        <v>2001</v>
      </c>
      <c r="G13" s="13" t="s">
        <v>1060</v>
      </c>
      <c r="H13" s="14">
        <v>2.0699999999999998</v>
      </c>
      <c r="I13" s="13" t="s">
        <v>28</v>
      </c>
      <c r="J13" s="14">
        <v>1189657.6499999999</v>
      </c>
      <c r="K13" s="13" t="s">
        <v>26</v>
      </c>
      <c r="L13" s="13">
        <v>70149</v>
      </c>
      <c r="M13" s="13" t="s">
        <v>1060</v>
      </c>
      <c r="N13" s="13"/>
      <c r="O13" s="13">
        <v>1</v>
      </c>
      <c r="P13" s="13"/>
      <c r="Q13" s="13"/>
      <c r="R13" s="13"/>
    </row>
    <row r="14" spans="1:18" x14ac:dyDescent="0.25">
      <c r="A14" s="13">
        <v>8003879954</v>
      </c>
      <c r="B14" s="13">
        <v>2</v>
      </c>
      <c r="C14" s="13">
        <v>30092017</v>
      </c>
      <c r="D14" s="13">
        <v>489</v>
      </c>
      <c r="E14" s="13" t="s">
        <v>50</v>
      </c>
      <c r="F14" s="13">
        <v>2001</v>
      </c>
      <c r="G14" s="13" t="s">
        <v>1060</v>
      </c>
      <c r="H14" s="14">
        <v>34.5</v>
      </c>
      <c r="I14" s="13" t="s">
        <v>28</v>
      </c>
      <c r="J14" s="14">
        <v>1189659.72</v>
      </c>
      <c r="K14" s="13" t="s">
        <v>26</v>
      </c>
      <c r="L14" s="13">
        <v>70149</v>
      </c>
      <c r="M14" s="13" t="s">
        <v>1060</v>
      </c>
      <c r="N14" s="13"/>
      <c r="O14" s="13">
        <v>1</v>
      </c>
      <c r="P14" s="13"/>
      <c r="Q14" s="13"/>
      <c r="R14" s="13"/>
    </row>
    <row r="15" spans="1:18" x14ac:dyDescent="0.25">
      <c r="A15" s="13">
        <v>8003879954</v>
      </c>
      <c r="B15" s="13">
        <v>1</v>
      </c>
      <c r="C15" s="13">
        <v>30092017</v>
      </c>
      <c r="D15" s="13">
        <v>341</v>
      </c>
      <c r="E15" s="13" t="s">
        <v>51</v>
      </c>
      <c r="F15" s="13">
        <v>2001</v>
      </c>
      <c r="G15" s="13" t="s">
        <v>1061</v>
      </c>
      <c r="H15" s="14">
        <v>89235.4</v>
      </c>
      <c r="I15" s="13" t="s">
        <v>28</v>
      </c>
      <c r="J15" s="14">
        <v>1189694.22</v>
      </c>
      <c r="K15" s="13" t="s">
        <v>26</v>
      </c>
      <c r="L15" s="13">
        <v>70138</v>
      </c>
      <c r="M15" s="13" t="s">
        <v>1061</v>
      </c>
      <c r="N15" s="13"/>
      <c r="O15" s="13">
        <v>1</v>
      </c>
      <c r="P15" s="13"/>
      <c r="Q15" s="13" t="s">
        <v>359</v>
      </c>
      <c r="R15" s="13"/>
    </row>
    <row r="16" spans="1:18" x14ac:dyDescent="0.25">
      <c r="A16" s="13">
        <v>8003879954</v>
      </c>
      <c r="B16" s="13">
        <v>66</v>
      </c>
      <c r="C16" s="13">
        <v>29092017</v>
      </c>
      <c r="D16" s="13">
        <v>60</v>
      </c>
      <c r="E16" s="13" t="s">
        <v>43</v>
      </c>
      <c r="F16" s="13">
        <v>9938</v>
      </c>
      <c r="G16" s="13" t="s">
        <v>1062</v>
      </c>
      <c r="H16" s="14">
        <v>180</v>
      </c>
      <c r="I16" s="13" t="s">
        <v>28</v>
      </c>
      <c r="J16" s="14">
        <v>1278929.6200000001</v>
      </c>
      <c r="K16" s="13" t="s">
        <v>26</v>
      </c>
      <c r="L16" s="13">
        <v>182650</v>
      </c>
      <c r="M16" s="13" t="s">
        <v>963</v>
      </c>
      <c r="N16" s="13"/>
      <c r="O16" s="13">
        <v>1</v>
      </c>
      <c r="P16" s="13" t="s">
        <v>964</v>
      </c>
      <c r="Q16" s="13" t="s">
        <v>965</v>
      </c>
      <c r="R16" s="13"/>
    </row>
    <row r="17" spans="1:18" x14ac:dyDescent="0.25">
      <c r="A17" s="13">
        <v>8003879954</v>
      </c>
      <c r="B17" s="13">
        <v>65</v>
      </c>
      <c r="C17" s="13">
        <v>29092017</v>
      </c>
      <c r="D17" s="13">
        <v>341</v>
      </c>
      <c r="E17" s="13" t="s">
        <v>29</v>
      </c>
      <c r="F17" s="13">
        <v>9938</v>
      </c>
      <c r="G17" s="13" t="s">
        <v>1063</v>
      </c>
      <c r="H17" s="14">
        <v>700</v>
      </c>
      <c r="I17" s="13" t="s">
        <v>28</v>
      </c>
      <c r="J17" s="14">
        <v>1279109.6200000001</v>
      </c>
      <c r="K17" s="13" t="s">
        <v>26</v>
      </c>
      <c r="L17" s="13">
        <v>182650</v>
      </c>
      <c r="M17" s="13" t="s">
        <v>966</v>
      </c>
      <c r="N17" s="13"/>
      <c r="O17" s="13">
        <v>1</v>
      </c>
      <c r="P17" s="13" t="s">
        <v>967</v>
      </c>
      <c r="Q17" s="13" t="s">
        <v>968</v>
      </c>
      <c r="R17" s="13"/>
    </row>
    <row r="18" spans="1:18" x14ac:dyDescent="0.25">
      <c r="A18" s="13">
        <v>8003879954</v>
      </c>
      <c r="B18" s="13">
        <v>64</v>
      </c>
      <c r="C18" s="13">
        <v>29092017</v>
      </c>
      <c r="D18" s="13">
        <v>299</v>
      </c>
      <c r="E18" s="13" t="s">
        <v>30</v>
      </c>
      <c r="F18" s="13">
        <v>9938</v>
      </c>
      <c r="G18" s="13" t="s">
        <v>1063</v>
      </c>
      <c r="H18" s="14">
        <v>0.01</v>
      </c>
      <c r="I18" s="13" t="s">
        <v>28</v>
      </c>
      <c r="J18" s="14">
        <v>1279809.6200000001</v>
      </c>
      <c r="K18" s="13" t="s">
        <v>26</v>
      </c>
      <c r="L18" s="13">
        <v>182650</v>
      </c>
      <c r="M18" s="13" t="s">
        <v>969</v>
      </c>
      <c r="N18" s="13"/>
      <c r="O18" s="13">
        <v>1</v>
      </c>
      <c r="P18" s="13"/>
      <c r="Q18" s="13"/>
    </row>
    <row r="19" spans="1:18" x14ac:dyDescent="0.25">
      <c r="A19" s="13">
        <v>8003879954</v>
      </c>
      <c r="B19" s="13">
        <v>63</v>
      </c>
      <c r="C19" s="13">
        <v>29092017</v>
      </c>
      <c r="D19" s="13">
        <v>489</v>
      </c>
      <c r="E19" s="13" t="s">
        <v>31</v>
      </c>
      <c r="F19" s="13">
        <v>9938</v>
      </c>
      <c r="G19" s="13" t="s">
        <v>1063</v>
      </c>
      <c r="H19" s="14">
        <v>0.1</v>
      </c>
      <c r="I19" s="13" t="s">
        <v>28</v>
      </c>
      <c r="J19" s="14">
        <v>1279809.6299999999</v>
      </c>
      <c r="K19" s="13" t="s">
        <v>26</v>
      </c>
      <c r="L19" s="13">
        <v>182650</v>
      </c>
      <c r="M19" s="13" t="s">
        <v>969</v>
      </c>
      <c r="N19" s="13"/>
      <c r="O19" s="13">
        <v>1</v>
      </c>
      <c r="P19" s="13"/>
      <c r="Q19" s="13"/>
    </row>
    <row r="20" spans="1:18" x14ac:dyDescent="0.25">
      <c r="A20" s="13">
        <v>8003879954</v>
      </c>
      <c r="B20" s="13">
        <v>62</v>
      </c>
      <c r="C20" s="13">
        <v>29092017</v>
      </c>
      <c r="D20" s="13">
        <v>345</v>
      </c>
      <c r="E20" s="13" t="s">
        <v>27</v>
      </c>
      <c r="F20" s="13">
        <v>9938</v>
      </c>
      <c r="G20" s="13" t="s">
        <v>1064</v>
      </c>
      <c r="H20" s="14">
        <v>6281.71</v>
      </c>
      <c r="I20" s="13" t="s">
        <v>28</v>
      </c>
      <c r="J20" s="14">
        <v>1279809.73</v>
      </c>
      <c r="K20" s="13" t="s">
        <v>26</v>
      </c>
      <c r="L20" s="13">
        <v>182650</v>
      </c>
      <c r="M20" s="13" t="s">
        <v>970</v>
      </c>
      <c r="N20" s="13"/>
      <c r="O20" s="13">
        <v>1</v>
      </c>
      <c r="P20" s="13" t="s">
        <v>971</v>
      </c>
      <c r="Q20" s="13" t="s">
        <v>74</v>
      </c>
    </row>
    <row r="21" spans="1:18" x14ac:dyDescent="0.25">
      <c r="A21" s="13">
        <v>8003879954</v>
      </c>
      <c r="B21" s="13">
        <v>61</v>
      </c>
      <c r="C21" s="13">
        <v>29092017</v>
      </c>
      <c r="D21" s="13">
        <v>341</v>
      </c>
      <c r="E21" s="13" t="s">
        <v>29</v>
      </c>
      <c r="F21" s="13">
        <v>9938</v>
      </c>
      <c r="G21" s="13" t="s">
        <v>1065</v>
      </c>
      <c r="H21" s="14">
        <v>3752.4</v>
      </c>
      <c r="I21" s="13" t="s">
        <v>28</v>
      </c>
      <c r="J21" s="14">
        <v>1286091.44</v>
      </c>
      <c r="K21" s="13" t="s">
        <v>26</v>
      </c>
      <c r="L21" s="13">
        <v>182649</v>
      </c>
      <c r="M21" s="13" t="s">
        <v>972</v>
      </c>
      <c r="N21" s="13"/>
      <c r="O21" s="13">
        <v>1</v>
      </c>
      <c r="P21" s="13" t="s">
        <v>973</v>
      </c>
      <c r="Q21" s="13" t="s">
        <v>974</v>
      </c>
    </row>
    <row r="22" spans="1:18" x14ac:dyDescent="0.25">
      <c r="A22" s="13">
        <v>8003879954</v>
      </c>
      <c r="B22" s="13">
        <v>60</v>
      </c>
      <c r="C22" s="13">
        <v>29092017</v>
      </c>
      <c r="D22" s="13">
        <v>299</v>
      </c>
      <c r="E22" s="13" t="s">
        <v>30</v>
      </c>
      <c r="F22" s="13">
        <v>9938</v>
      </c>
      <c r="G22" s="13" t="s">
        <v>1065</v>
      </c>
      <c r="H22" s="14">
        <v>0.01</v>
      </c>
      <c r="I22" s="13" t="s">
        <v>28</v>
      </c>
      <c r="J22" s="14">
        <v>1289843.8400000001</v>
      </c>
      <c r="K22" s="13" t="s">
        <v>26</v>
      </c>
      <c r="L22" s="13">
        <v>182649</v>
      </c>
      <c r="M22" s="13" t="s">
        <v>975</v>
      </c>
      <c r="N22" s="13"/>
      <c r="O22" s="13">
        <v>1</v>
      </c>
      <c r="P22" s="13"/>
      <c r="Q22" s="13"/>
    </row>
    <row r="23" spans="1:18" x14ac:dyDescent="0.25">
      <c r="A23" s="13">
        <v>8003879954</v>
      </c>
      <c r="B23" s="13">
        <v>59</v>
      </c>
      <c r="C23" s="13">
        <v>29092017</v>
      </c>
      <c r="D23" s="13">
        <v>489</v>
      </c>
      <c r="E23" s="13" t="s">
        <v>31</v>
      </c>
      <c r="F23" s="13">
        <v>9938</v>
      </c>
      <c r="G23" s="13" t="s">
        <v>1065</v>
      </c>
      <c r="H23" s="14">
        <v>0.1</v>
      </c>
      <c r="I23" s="13" t="s">
        <v>28</v>
      </c>
      <c r="J23" s="14">
        <v>1289843.8500000001</v>
      </c>
      <c r="K23" s="13" t="s">
        <v>26</v>
      </c>
      <c r="L23" s="13">
        <v>182649</v>
      </c>
      <c r="M23" s="13" t="s">
        <v>975</v>
      </c>
      <c r="N23" s="13"/>
      <c r="O23" s="13">
        <v>1</v>
      </c>
      <c r="P23" s="13"/>
      <c r="Q23" s="13"/>
    </row>
    <row r="24" spans="1:18" x14ac:dyDescent="0.25">
      <c r="A24" s="13">
        <v>8003879954</v>
      </c>
      <c r="B24" s="13">
        <v>58</v>
      </c>
      <c r="C24" s="13">
        <v>29092017</v>
      </c>
      <c r="D24" s="13">
        <v>341</v>
      </c>
      <c r="E24" s="13" t="s">
        <v>29</v>
      </c>
      <c r="F24" s="13">
        <v>9938</v>
      </c>
      <c r="G24" s="13" t="s">
        <v>1066</v>
      </c>
      <c r="H24" s="14">
        <v>2800</v>
      </c>
      <c r="I24" s="13" t="s">
        <v>28</v>
      </c>
      <c r="J24" s="14">
        <v>1289843.95</v>
      </c>
      <c r="K24" s="13" t="s">
        <v>26</v>
      </c>
      <c r="L24" s="13">
        <v>182649</v>
      </c>
      <c r="M24" s="13" t="s">
        <v>239</v>
      </c>
      <c r="N24" s="13"/>
      <c r="O24" s="13">
        <v>1</v>
      </c>
      <c r="P24" s="13" t="s">
        <v>976</v>
      </c>
      <c r="Q24" s="13" t="s">
        <v>977</v>
      </c>
    </row>
    <row r="25" spans="1:18" x14ac:dyDescent="0.25">
      <c r="A25" s="13">
        <v>8003879954</v>
      </c>
      <c r="B25" s="13">
        <v>57</v>
      </c>
      <c r="C25" s="13">
        <v>29092017</v>
      </c>
      <c r="D25" s="13">
        <v>299</v>
      </c>
      <c r="E25" s="13" t="s">
        <v>30</v>
      </c>
      <c r="F25" s="13">
        <v>9938</v>
      </c>
      <c r="G25" s="13" t="s">
        <v>1066</v>
      </c>
      <c r="H25" s="14">
        <v>0.01</v>
      </c>
      <c r="I25" s="13" t="s">
        <v>28</v>
      </c>
      <c r="J25" s="14">
        <v>1292643.95</v>
      </c>
      <c r="K25" s="13" t="s">
        <v>26</v>
      </c>
      <c r="L25" s="13">
        <v>182649</v>
      </c>
      <c r="M25" s="13" t="s">
        <v>978</v>
      </c>
      <c r="N25" s="13"/>
      <c r="O25" s="13">
        <v>1</v>
      </c>
      <c r="P25" s="13"/>
      <c r="Q25" s="13"/>
    </row>
    <row r="26" spans="1:18" x14ac:dyDescent="0.25">
      <c r="A26" s="13">
        <v>8003879954</v>
      </c>
      <c r="B26" s="13">
        <v>56</v>
      </c>
      <c r="C26" s="13">
        <v>29092017</v>
      </c>
      <c r="D26" s="13">
        <v>489</v>
      </c>
      <c r="E26" s="13" t="s">
        <v>31</v>
      </c>
      <c r="F26" s="13">
        <v>9938</v>
      </c>
      <c r="G26" s="13" t="s">
        <v>1066</v>
      </c>
      <c r="H26" s="14">
        <v>0.1</v>
      </c>
      <c r="I26" s="13" t="s">
        <v>28</v>
      </c>
      <c r="J26" s="14">
        <v>1292643.96</v>
      </c>
      <c r="K26" s="13" t="s">
        <v>26</v>
      </c>
      <c r="L26" s="13">
        <v>182649</v>
      </c>
      <c r="M26" s="13" t="s">
        <v>978</v>
      </c>
      <c r="N26" s="13"/>
      <c r="O26" s="13">
        <v>1</v>
      </c>
      <c r="P26" s="13"/>
      <c r="Q26" s="13"/>
    </row>
    <row r="27" spans="1:18" x14ac:dyDescent="0.25">
      <c r="A27" s="13">
        <v>8003879954</v>
      </c>
      <c r="B27" s="13">
        <v>55</v>
      </c>
      <c r="C27" s="13">
        <v>29092017</v>
      </c>
      <c r="D27" s="13">
        <v>341</v>
      </c>
      <c r="E27" s="13" t="s">
        <v>29</v>
      </c>
      <c r="F27" s="13">
        <v>9938</v>
      </c>
      <c r="G27" s="13" t="s">
        <v>1067</v>
      </c>
      <c r="H27" s="14">
        <v>3688.32</v>
      </c>
      <c r="I27" s="13" t="s">
        <v>28</v>
      </c>
      <c r="J27" s="14">
        <v>1292644.06</v>
      </c>
      <c r="K27" s="13" t="s">
        <v>26</v>
      </c>
      <c r="L27" s="13">
        <v>182649</v>
      </c>
      <c r="M27" s="13" t="s">
        <v>225</v>
      </c>
      <c r="N27" s="13"/>
      <c r="O27" s="13">
        <v>1</v>
      </c>
      <c r="P27" s="13" t="s">
        <v>979</v>
      </c>
      <c r="Q27" s="13" t="s">
        <v>980</v>
      </c>
    </row>
    <row r="28" spans="1:18" x14ac:dyDescent="0.25">
      <c r="A28" s="13">
        <v>8003879954</v>
      </c>
      <c r="B28" s="13">
        <v>54</v>
      </c>
      <c r="C28" s="13">
        <v>29092017</v>
      </c>
      <c r="D28" s="13">
        <v>299</v>
      </c>
      <c r="E28" s="13" t="s">
        <v>30</v>
      </c>
      <c r="F28" s="13">
        <v>9938</v>
      </c>
      <c r="G28" s="13" t="s">
        <v>1067</v>
      </c>
      <c r="H28" s="14">
        <v>0.01</v>
      </c>
      <c r="I28" s="13" t="s">
        <v>28</v>
      </c>
      <c r="J28" s="14">
        <v>1296332.3799999999</v>
      </c>
      <c r="K28" s="13" t="s">
        <v>26</v>
      </c>
      <c r="L28" s="13">
        <v>182649</v>
      </c>
      <c r="M28" s="13" t="s">
        <v>981</v>
      </c>
      <c r="N28" s="13"/>
      <c r="O28" s="13">
        <v>1</v>
      </c>
      <c r="P28" s="13"/>
      <c r="Q28" s="13"/>
    </row>
    <row r="29" spans="1:18" x14ac:dyDescent="0.25">
      <c r="A29" s="13">
        <v>8003879954</v>
      </c>
      <c r="B29" s="13">
        <v>53</v>
      </c>
      <c r="C29" s="13">
        <v>29092017</v>
      </c>
      <c r="D29" s="13">
        <v>489</v>
      </c>
      <c r="E29" s="13" t="s">
        <v>31</v>
      </c>
      <c r="F29" s="13">
        <v>9938</v>
      </c>
      <c r="G29" s="13" t="s">
        <v>1067</v>
      </c>
      <c r="H29" s="14">
        <v>0.1</v>
      </c>
      <c r="I29" s="13" t="s">
        <v>28</v>
      </c>
      <c r="J29" s="14">
        <v>1296332.3899999999</v>
      </c>
      <c r="K29" s="13" t="s">
        <v>26</v>
      </c>
      <c r="L29" s="13">
        <v>182649</v>
      </c>
      <c r="M29" s="13" t="s">
        <v>981</v>
      </c>
      <c r="N29" s="13"/>
      <c r="O29" s="13">
        <v>1</v>
      </c>
      <c r="P29" s="13"/>
      <c r="Q29" s="13"/>
    </row>
    <row r="30" spans="1:18" x14ac:dyDescent="0.25">
      <c r="A30" s="13">
        <v>8003879954</v>
      </c>
      <c r="B30" s="13">
        <v>52</v>
      </c>
      <c r="C30" s="13">
        <v>29092017</v>
      </c>
      <c r="D30" s="13">
        <v>341</v>
      </c>
      <c r="E30" s="13" t="s">
        <v>29</v>
      </c>
      <c r="F30" s="13">
        <v>9938</v>
      </c>
      <c r="G30" s="13" t="s">
        <v>1068</v>
      </c>
      <c r="H30" s="14">
        <v>65</v>
      </c>
      <c r="I30" s="13" t="s">
        <v>28</v>
      </c>
      <c r="J30" s="14">
        <v>1296332.49</v>
      </c>
      <c r="K30" s="13" t="s">
        <v>26</v>
      </c>
      <c r="L30" s="13">
        <v>182649</v>
      </c>
      <c r="M30" s="13" t="s">
        <v>79</v>
      </c>
      <c r="N30" s="13"/>
      <c r="O30" s="13">
        <v>1</v>
      </c>
      <c r="P30" s="13" t="s">
        <v>982</v>
      </c>
      <c r="Q30" s="13" t="s">
        <v>1069</v>
      </c>
    </row>
    <row r="31" spans="1:18" x14ac:dyDescent="0.25">
      <c r="A31" s="13">
        <v>8003879954</v>
      </c>
      <c r="B31" s="13">
        <v>51</v>
      </c>
      <c r="C31" s="13">
        <v>29092017</v>
      </c>
      <c r="D31" s="13">
        <v>299</v>
      </c>
      <c r="E31" s="13" t="s">
        <v>30</v>
      </c>
      <c r="F31" s="13">
        <v>9938</v>
      </c>
      <c r="G31" s="13" t="s">
        <v>1068</v>
      </c>
      <c r="H31" s="14">
        <v>0.01</v>
      </c>
      <c r="I31" s="13" t="s">
        <v>28</v>
      </c>
      <c r="J31" s="14">
        <v>1296397.49</v>
      </c>
      <c r="K31" s="13" t="s">
        <v>26</v>
      </c>
      <c r="L31" s="13">
        <v>182649</v>
      </c>
      <c r="M31" s="13" t="s">
        <v>983</v>
      </c>
      <c r="N31" s="13"/>
      <c r="O31" s="13">
        <v>1</v>
      </c>
      <c r="P31" s="13"/>
      <c r="Q31" s="13"/>
    </row>
    <row r="32" spans="1:18" x14ac:dyDescent="0.25">
      <c r="A32" s="13">
        <v>8003879954</v>
      </c>
      <c r="B32" s="13">
        <v>50</v>
      </c>
      <c r="C32" s="13">
        <v>29092017</v>
      </c>
      <c r="D32" s="13">
        <v>489</v>
      </c>
      <c r="E32" s="13" t="s">
        <v>31</v>
      </c>
      <c r="F32" s="13">
        <v>9938</v>
      </c>
      <c r="G32" s="13" t="s">
        <v>1068</v>
      </c>
      <c r="H32" s="14">
        <v>0.1</v>
      </c>
      <c r="I32" s="13" t="s">
        <v>28</v>
      </c>
      <c r="J32" s="14">
        <v>1296397.5</v>
      </c>
      <c r="K32" s="13" t="s">
        <v>26</v>
      </c>
      <c r="L32" s="13">
        <v>182649</v>
      </c>
      <c r="M32" s="13" t="s">
        <v>983</v>
      </c>
      <c r="N32" s="13"/>
      <c r="O32" s="13">
        <v>1</v>
      </c>
      <c r="P32" s="13"/>
      <c r="Q32" s="13"/>
    </row>
    <row r="33" spans="1:17" x14ac:dyDescent="0.25">
      <c r="A33" s="13">
        <v>8003879954</v>
      </c>
      <c r="B33" s="13">
        <v>49</v>
      </c>
      <c r="C33" s="13">
        <v>29092017</v>
      </c>
      <c r="D33" s="13">
        <v>341</v>
      </c>
      <c r="E33" s="13" t="s">
        <v>29</v>
      </c>
      <c r="F33" s="13">
        <v>9938</v>
      </c>
      <c r="G33" s="13" t="s">
        <v>1070</v>
      </c>
      <c r="H33" s="14">
        <v>90</v>
      </c>
      <c r="I33" s="13" t="s">
        <v>28</v>
      </c>
      <c r="J33" s="14">
        <v>1296397.6000000001</v>
      </c>
      <c r="K33" s="13" t="s">
        <v>26</v>
      </c>
      <c r="L33" s="13">
        <v>182649</v>
      </c>
      <c r="M33" s="13" t="s">
        <v>170</v>
      </c>
      <c r="N33" s="13"/>
      <c r="O33" s="13">
        <v>1</v>
      </c>
      <c r="P33" s="13" t="s">
        <v>984</v>
      </c>
      <c r="Q33" s="13" t="s">
        <v>1071</v>
      </c>
    </row>
    <row r="34" spans="1:17" x14ac:dyDescent="0.25">
      <c r="A34" s="13">
        <v>8003879954</v>
      </c>
      <c r="B34" s="13">
        <v>48</v>
      </c>
      <c r="C34" s="13">
        <v>29092017</v>
      </c>
      <c r="D34" s="13">
        <v>299</v>
      </c>
      <c r="E34" s="13" t="s">
        <v>30</v>
      </c>
      <c r="F34" s="13">
        <v>9938</v>
      </c>
      <c r="G34" s="13" t="s">
        <v>1070</v>
      </c>
      <c r="H34" s="14">
        <v>0.01</v>
      </c>
      <c r="I34" s="13" t="s">
        <v>28</v>
      </c>
      <c r="J34" s="14">
        <v>1296487.6000000001</v>
      </c>
      <c r="K34" s="13" t="s">
        <v>26</v>
      </c>
      <c r="L34" s="13">
        <v>182649</v>
      </c>
      <c r="M34" s="13" t="s">
        <v>985</v>
      </c>
      <c r="N34" s="13"/>
      <c r="O34" s="13">
        <v>1</v>
      </c>
      <c r="P34" s="13"/>
      <c r="Q34" s="13"/>
    </row>
    <row r="35" spans="1:17" x14ac:dyDescent="0.25">
      <c r="A35" s="13">
        <v>8003879954</v>
      </c>
      <c r="B35" s="13">
        <v>47</v>
      </c>
      <c r="C35" s="13">
        <v>29092017</v>
      </c>
      <c r="D35" s="13">
        <v>489</v>
      </c>
      <c r="E35" s="13" t="s">
        <v>31</v>
      </c>
      <c r="F35" s="13">
        <v>9938</v>
      </c>
      <c r="G35" s="13" t="s">
        <v>1070</v>
      </c>
      <c r="H35" s="14">
        <v>0.1</v>
      </c>
      <c r="I35" s="13" t="s">
        <v>28</v>
      </c>
      <c r="J35" s="14">
        <v>1296487.6100000001</v>
      </c>
      <c r="K35" s="13" t="s">
        <v>26</v>
      </c>
      <c r="L35" s="13">
        <v>182649</v>
      </c>
      <c r="M35" s="13" t="s">
        <v>985</v>
      </c>
      <c r="N35" s="13"/>
      <c r="O35" s="13">
        <v>1</v>
      </c>
      <c r="P35" s="13"/>
      <c r="Q35" s="13"/>
    </row>
    <row r="36" spans="1:17" x14ac:dyDescent="0.25">
      <c r="A36" s="13">
        <v>8003879954</v>
      </c>
      <c r="B36" s="13">
        <v>46</v>
      </c>
      <c r="C36" s="13">
        <v>29092017</v>
      </c>
      <c r="D36" s="13">
        <v>345</v>
      </c>
      <c r="E36" s="13" t="s">
        <v>27</v>
      </c>
      <c r="F36" s="13">
        <v>9938</v>
      </c>
      <c r="G36" s="13" t="s">
        <v>1072</v>
      </c>
      <c r="H36" s="14">
        <v>2141.7199999999998</v>
      </c>
      <c r="I36" s="13" t="s">
        <v>28</v>
      </c>
      <c r="J36" s="14">
        <v>1296487.71</v>
      </c>
      <c r="K36" s="13" t="s">
        <v>26</v>
      </c>
      <c r="L36" s="13">
        <v>182648</v>
      </c>
      <c r="M36" s="13" t="s">
        <v>986</v>
      </c>
      <c r="N36" s="13"/>
      <c r="O36" s="13">
        <v>1</v>
      </c>
      <c r="P36" s="13" t="s">
        <v>987</v>
      </c>
      <c r="Q36" s="13" t="s">
        <v>74</v>
      </c>
    </row>
    <row r="37" spans="1:17" x14ac:dyDescent="0.25">
      <c r="A37" s="13">
        <v>8003879954</v>
      </c>
      <c r="B37" s="13">
        <v>45</v>
      </c>
      <c r="C37" s="13">
        <v>29092017</v>
      </c>
      <c r="D37" s="13">
        <v>341</v>
      </c>
      <c r="E37" s="13" t="s">
        <v>29</v>
      </c>
      <c r="F37" s="13">
        <v>9938</v>
      </c>
      <c r="G37" s="13" t="s">
        <v>1073</v>
      </c>
      <c r="H37" s="14">
        <v>1800</v>
      </c>
      <c r="I37" s="13" t="s">
        <v>28</v>
      </c>
      <c r="J37" s="14">
        <v>1298629.43</v>
      </c>
      <c r="K37" s="13" t="s">
        <v>26</v>
      </c>
      <c r="L37" s="13">
        <v>182030</v>
      </c>
      <c r="M37" s="13" t="s">
        <v>826</v>
      </c>
      <c r="N37" s="13"/>
      <c r="O37" s="13">
        <v>1</v>
      </c>
      <c r="P37" s="13" t="s">
        <v>988</v>
      </c>
      <c r="Q37" s="13" t="s">
        <v>989</v>
      </c>
    </row>
    <row r="38" spans="1:17" x14ac:dyDescent="0.25">
      <c r="A38" s="13">
        <v>8003879954</v>
      </c>
      <c r="B38" s="13">
        <v>44</v>
      </c>
      <c r="C38" s="13">
        <v>29092017</v>
      </c>
      <c r="D38" s="13">
        <v>299</v>
      </c>
      <c r="E38" s="13" t="s">
        <v>30</v>
      </c>
      <c r="F38" s="13">
        <v>9938</v>
      </c>
      <c r="G38" s="13" t="s">
        <v>1073</v>
      </c>
      <c r="H38" s="14">
        <v>0.01</v>
      </c>
      <c r="I38" s="13" t="s">
        <v>28</v>
      </c>
      <c r="J38" s="14">
        <v>1300429.43</v>
      </c>
      <c r="K38" s="13" t="s">
        <v>26</v>
      </c>
      <c r="L38" s="13">
        <v>182030</v>
      </c>
      <c r="M38" s="13" t="s">
        <v>990</v>
      </c>
      <c r="N38" s="13"/>
      <c r="O38" s="13">
        <v>1</v>
      </c>
      <c r="P38" s="13"/>
      <c r="Q38" s="13"/>
    </row>
    <row r="39" spans="1:17" x14ac:dyDescent="0.25">
      <c r="A39" s="13">
        <v>8003879954</v>
      </c>
      <c r="B39" s="13">
        <v>43</v>
      </c>
      <c r="C39" s="13">
        <v>29092017</v>
      </c>
      <c r="D39" s="13">
        <v>489</v>
      </c>
      <c r="E39" s="13" t="s">
        <v>31</v>
      </c>
      <c r="F39" s="13">
        <v>9938</v>
      </c>
      <c r="G39" s="13" t="s">
        <v>1073</v>
      </c>
      <c r="H39" s="14">
        <v>0.1</v>
      </c>
      <c r="I39" s="13" t="s">
        <v>28</v>
      </c>
      <c r="J39" s="14">
        <v>1300429.44</v>
      </c>
      <c r="K39" s="13" t="s">
        <v>26</v>
      </c>
      <c r="L39" s="13">
        <v>182030</v>
      </c>
      <c r="M39" s="13" t="s">
        <v>990</v>
      </c>
      <c r="N39" s="13"/>
      <c r="O39" s="13">
        <v>1</v>
      </c>
      <c r="P39" s="13"/>
      <c r="Q39" s="13"/>
    </row>
    <row r="40" spans="1:17" x14ac:dyDescent="0.25">
      <c r="A40" s="13">
        <v>8003879954</v>
      </c>
      <c r="B40" s="13">
        <v>42</v>
      </c>
      <c r="C40" s="13">
        <v>29092017</v>
      </c>
      <c r="D40" s="13">
        <v>341</v>
      </c>
      <c r="E40" s="13" t="s">
        <v>29</v>
      </c>
      <c r="F40" s="13">
        <v>9938</v>
      </c>
      <c r="G40" s="13" t="s">
        <v>1074</v>
      </c>
      <c r="H40" s="14">
        <v>388.42</v>
      </c>
      <c r="I40" s="13" t="s">
        <v>28</v>
      </c>
      <c r="J40" s="14">
        <v>1300429.54</v>
      </c>
      <c r="K40" s="13" t="s">
        <v>26</v>
      </c>
      <c r="L40" s="13">
        <v>182030</v>
      </c>
      <c r="M40" s="13" t="s">
        <v>572</v>
      </c>
      <c r="N40" s="13"/>
      <c r="O40" s="13">
        <v>1</v>
      </c>
      <c r="P40" s="13" t="s">
        <v>991</v>
      </c>
      <c r="Q40" s="13" t="s">
        <v>992</v>
      </c>
    </row>
    <row r="41" spans="1:17" x14ac:dyDescent="0.25">
      <c r="A41" s="13">
        <v>8003879954</v>
      </c>
      <c r="B41" s="13">
        <v>41</v>
      </c>
      <c r="C41" s="13">
        <v>29092017</v>
      </c>
      <c r="D41" s="13">
        <v>299</v>
      </c>
      <c r="E41" s="13" t="s">
        <v>30</v>
      </c>
      <c r="F41" s="13">
        <v>9938</v>
      </c>
      <c r="G41" s="13" t="s">
        <v>1074</v>
      </c>
      <c r="H41" s="14">
        <v>0.01</v>
      </c>
      <c r="I41" s="13" t="s">
        <v>28</v>
      </c>
      <c r="J41" s="14">
        <v>1300817.96</v>
      </c>
      <c r="K41" s="13" t="s">
        <v>26</v>
      </c>
      <c r="L41" s="13">
        <v>182030</v>
      </c>
      <c r="M41" s="13" t="s">
        <v>993</v>
      </c>
      <c r="N41" s="13"/>
      <c r="O41" s="13">
        <v>1</v>
      </c>
      <c r="P41" s="13"/>
      <c r="Q41" s="13"/>
    </row>
    <row r="42" spans="1:17" x14ac:dyDescent="0.25">
      <c r="A42" s="13">
        <v>8003879954</v>
      </c>
      <c r="B42" s="13">
        <v>40</v>
      </c>
      <c r="C42" s="13">
        <v>29092017</v>
      </c>
      <c r="D42" s="13">
        <v>489</v>
      </c>
      <c r="E42" s="13" t="s">
        <v>31</v>
      </c>
      <c r="F42" s="13">
        <v>9938</v>
      </c>
      <c r="G42" s="13" t="s">
        <v>1074</v>
      </c>
      <c r="H42" s="14">
        <v>0.1</v>
      </c>
      <c r="I42" s="13" t="s">
        <v>28</v>
      </c>
      <c r="J42" s="14">
        <v>1300817.97</v>
      </c>
      <c r="K42" s="13" t="s">
        <v>26</v>
      </c>
      <c r="L42" s="13">
        <v>182030</v>
      </c>
      <c r="M42" s="13" t="s">
        <v>993</v>
      </c>
      <c r="N42" s="13"/>
      <c r="O42" s="13">
        <v>1</v>
      </c>
      <c r="P42" s="13"/>
      <c r="Q42" s="13"/>
    </row>
    <row r="43" spans="1:17" x14ac:dyDescent="0.25">
      <c r="A43" s="13">
        <v>8003879954</v>
      </c>
      <c r="B43" s="13">
        <v>39</v>
      </c>
      <c r="C43" s="13">
        <v>29092017</v>
      </c>
      <c r="D43" s="13">
        <v>345</v>
      </c>
      <c r="E43" s="13" t="s">
        <v>27</v>
      </c>
      <c r="F43" s="13">
        <v>9938</v>
      </c>
      <c r="G43" s="13" t="s">
        <v>1075</v>
      </c>
      <c r="H43" s="14">
        <v>294.27</v>
      </c>
      <c r="I43" s="13" t="s">
        <v>28</v>
      </c>
      <c r="J43" s="14">
        <v>1300818.07</v>
      </c>
      <c r="K43" s="13" t="s">
        <v>26</v>
      </c>
      <c r="L43" s="13">
        <v>182030</v>
      </c>
      <c r="M43" s="13" t="s">
        <v>994</v>
      </c>
      <c r="N43" s="13"/>
      <c r="O43" s="13">
        <v>1</v>
      </c>
      <c r="P43" s="13" t="s">
        <v>995</v>
      </c>
      <c r="Q43" s="13" t="s">
        <v>74</v>
      </c>
    </row>
    <row r="44" spans="1:17" x14ac:dyDescent="0.25">
      <c r="A44" s="13">
        <v>8003879954</v>
      </c>
      <c r="B44" s="13">
        <v>38</v>
      </c>
      <c r="C44" s="13">
        <v>29092017</v>
      </c>
      <c r="D44" s="13">
        <v>341</v>
      </c>
      <c r="E44" s="13" t="s">
        <v>29</v>
      </c>
      <c r="F44" s="13">
        <v>9938</v>
      </c>
      <c r="G44" s="13" t="s">
        <v>1076</v>
      </c>
      <c r="H44" s="14">
        <v>9964</v>
      </c>
      <c r="I44" s="13" t="s">
        <v>28</v>
      </c>
      <c r="J44" s="14">
        <v>1301112.3400000001</v>
      </c>
      <c r="K44" s="13" t="s">
        <v>26</v>
      </c>
      <c r="L44" s="13">
        <v>182030</v>
      </c>
      <c r="M44" s="13" t="s">
        <v>719</v>
      </c>
      <c r="N44" s="13"/>
      <c r="O44" s="13">
        <v>1</v>
      </c>
      <c r="P44" s="13" t="s">
        <v>996</v>
      </c>
      <c r="Q44" s="13" t="s">
        <v>997</v>
      </c>
    </row>
    <row r="45" spans="1:17" x14ac:dyDescent="0.25">
      <c r="A45" s="13">
        <v>8003879954</v>
      </c>
      <c r="B45" s="13">
        <v>37</v>
      </c>
      <c r="C45" s="13">
        <v>29092017</v>
      </c>
      <c r="D45" s="13">
        <v>299</v>
      </c>
      <c r="E45" s="13" t="s">
        <v>30</v>
      </c>
      <c r="F45" s="13">
        <v>9938</v>
      </c>
      <c r="G45" s="13" t="s">
        <v>1076</v>
      </c>
      <c r="H45" s="14">
        <v>0.01</v>
      </c>
      <c r="I45" s="13" t="s">
        <v>28</v>
      </c>
      <c r="J45" s="14">
        <v>1311076.3400000001</v>
      </c>
      <c r="K45" s="13" t="s">
        <v>26</v>
      </c>
      <c r="L45" s="13">
        <v>182030</v>
      </c>
      <c r="M45" s="13" t="s">
        <v>998</v>
      </c>
      <c r="N45" s="13"/>
      <c r="O45" s="13">
        <v>1</v>
      </c>
      <c r="P45" s="13"/>
      <c r="Q45" s="13"/>
    </row>
    <row r="46" spans="1:17" x14ac:dyDescent="0.25">
      <c r="A46" s="13">
        <v>8003879954</v>
      </c>
      <c r="B46" s="13">
        <v>36</v>
      </c>
      <c r="C46" s="13">
        <v>29092017</v>
      </c>
      <c r="D46" s="13">
        <v>489</v>
      </c>
      <c r="E46" s="13" t="s">
        <v>31</v>
      </c>
      <c r="F46" s="13">
        <v>9938</v>
      </c>
      <c r="G46" s="13" t="s">
        <v>1076</v>
      </c>
      <c r="H46" s="14">
        <v>0.1</v>
      </c>
      <c r="I46" s="13" t="s">
        <v>28</v>
      </c>
      <c r="J46" s="14">
        <v>1311076.3500000001</v>
      </c>
      <c r="K46" s="13" t="s">
        <v>26</v>
      </c>
      <c r="L46" s="13">
        <v>182030</v>
      </c>
      <c r="M46" s="13" t="s">
        <v>998</v>
      </c>
      <c r="N46" s="13"/>
      <c r="O46" s="13">
        <v>1</v>
      </c>
      <c r="P46" s="13"/>
      <c r="Q46" s="13"/>
    </row>
    <row r="47" spans="1:17" x14ac:dyDescent="0.25">
      <c r="A47" s="13">
        <v>8003879954</v>
      </c>
      <c r="B47" s="13">
        <v>35</v>
      </c>
      <c r="C47" s="13">
        <v>29092017</v>
      </c>
      <c r="D47" s="13">
        <v>60</v>
      </c>
      <c r="E47" s="13" t="s">
        <v>43</v>
      </c>
      <c r="F47" s="13">
        <v>9938</v>
      </c>
      <c r="G47" s="13" t="s">
        <v>1077</v>
      </c>
      <c r="H47" s="14">
        <v>1590</v>
      </c>
      <c r="I47" s="13" t="s">
        <v>28</v>
      </c>
      <c r="J47" s="14">
        <v>1311076.45</v>
      </c>
      <c r="K47" s="13" t="s">
        <v>26</v>
      </c>
      <c r="L47" s="13">
        <v>182029</v>
      </c>
      <c r="M47" s="13" t="s">
        <v>999</v>
      </c>
      <c r="N47" s="13"/>
      <c r="O47" s="13">
        <v>1</v>
      </c>
      <c r="P47" s="13" t="s">
        <v>1000</v>
      </c>
      <c r="Q47" s="13" t="s">
        <v>1001</v>
      </c>
    </row>
    <row r="48" spans="1:17" x14ac:dyDescent="0.25">
      <c r="A48" s="13">
        <v>8003879954</v>
      </c>
      <c r="B48" s="13">
        <v>34</v>
      </c>
      <c r="C48" s="13">
        <v>29092017</v>
      </c>
      <c r="D48" s="13">
        <v>341</v>
      </c>
      <c r="E48" s="13" t="s">
        <v>29</v>
      </c>
      <c r="F48" s="13">
        <v>9938</v>
      </c>
      <c r="G48" s="13" t="s">
        <v>1078</v>
      </c>
      <c r="H48" s="14">
        <v>180</v>
      </c>
      <c r="I48" s="13" t="s">
        <v>28</v>
      </c>
      <c r="J48" s="14">
        <v>1312666.45</v>
      </c>
      <c r="K48" s="13" t="s">
        <v>26</v>
      </c>
      <c r="L48" s="13">
        <v>182029</v>
      </c>
      <c r="M48" s="13" t="s">
        <v>165</v>
      </c>
      <c r="N48" s="13"/>
      <c r="O48" s="13">
        <v>1</v>
      </c>
      <c r="P48" s="13" t="s">
        <v>1002</v>
      </c>
      <c r="Q48" s="13" t="s">
        <v>1003</v>
      </c>
    </row>
    <row r="49" spans="1:17" x14ac:dyDescent="0.25">
      <c r="A49" s="13">
        <v>8003879954</v>
      </c>
      <c r="B49" s="13">
        <v>33</v>
      </c>
      <c r="C49" s="13">
        <v>29092017</v>
      </c>
      <c r="D49" s="13">
        <v>299</v>
      </c>
      <c r="E49" s="13" t="s">
        <v>30</v>
      </c>
      <c r="F49" s="13">
        <v>9938</v>
      </c>
      <c r="G49" s="13" t="s">
        <v>1078</v>
      </c>
      <c r="H49" s="14">
        <v>0.01</v>
      </c>
      <c r="I49" s="13" t="s">
        <v>28</v>
      </c>
      <c r="J49" s="14">
        <v>1312846.45</v>
      </c>
      <c r="K49" s="13" t="s">
        <v>26</v>
      </c>
      <c r="L49" s="13">
        <v>182029</v>
      </c>
      <c r="M49" s="13" t="s">
        <v>1004</v>
      </c>
      <c r="N49" s="13"/>
      <c r="O49" s="13">
        <v>1</v>
      </c>
      <c r="P49" s="13"/>
      <c r="Q49" s="13"/>
    </row>
    <row r="50" spans="1:17" x14ac:dyDescent="0.25">
      <c r="A50" s="13">
        <v>8003879954</v>
      </c>
      <c r="B50" s="13">
        <v>32</v>
      </c>
      <c r="C50" s="13">
        <v>29092017</v>
      </c>
      <c r="D50" s="13">
        <v>489</v>
      </c>
      <c r="E50" s="13" t="s">
        <v>31</v>
      </c>
      <c r="F50" s="13">
        <v>9938</v>
      </c>
      <c r="G50" s="13" t="s">
        <v>1078</v>
      </c>
      <c r="H50" s="14">
        <v>0.1</v>
      </c>
      <c r="I50" s="13" t="s">
        <v>28</v>
      </c>
      <c r="J50" s="14">
        <v>1312846.46</v>
      </c>
      <c r="K50" s="13" t="s">
        <v>26</v>
      </c>
      <c r="L50" s="13">
        <v>182029</v>
      </c>
      <c r="M50" s="13" t="s">
        <v>1004</v>
      </c>
      <c r="N50" s="13"/>
      <c r="O50" s="13">
        <v>1</v>
      </c>
      <c r="P50" s="13"/>
      <c r="Q50" s="13"/>
    </row>
    <row r="51" spans="1:17" x14ac:dyDescent="0.25">
      <c r="A51" s="13">
        <v>8003879954</v>
      </c>
      <c r="B51" s="13">
        <v>31</v>
      </c>
      <c r="C51" s="13">
        <v>29092017</v>
      </c>
      <c r="D51" s="13">
        <v>341</v>
      </c>
      <c r="E51" s="13" t="s">
        <v>29</v>
      </c>
      <c r="F51" s="13">
        <v>9938</v>
      </c>
      <c r="G51" s="13" t="s">
        <v>1079</v>
      </c>
      <c r="H51" s="14">
        <v>2958</v>
      </c>
      <c r="I51" s="13" t="s">
        <v>28</v>
      </c>
      <c r="J51" s="14">
        <v>1312846.56</v>
      </c>
      <c r="K51" s="13" t="s">
        <v>26</v>
      </c>
      <c r="L51" s="13">
        <v>182029</v>
      </c>
      <c r="M51" s="13" t="s">
        <v>1005</v>
      </c>
      <c r="N51" s="13"/>
      <c r="O51" s="13">
        <v>1</v>
      </c>
      <c r="P51" s="13" t="s">
        <v>1006</v>
      </c>
      <c r="Q51" s="13" t="s">
        <v>1007</v>
      </c>
    </row>
    <row r="52" spans="1:17" x14ac:dyDescent="0.25">
      <c r="A52" s="13">
        <v>8003879954</v>
      </c>
      <c r="B52" s="13">
        <v>30</v>
      </c>
      <c r="C52" s="13">
        <v>29092017</v>
      </c>
      <c r="D52" s="13">
        <v>299</v>
      </c>
      <c r="E52" s="13" t="s">
        <v>30</v>
      </c>
      <c r="F52" s="13">
        <v>9938</v>
      </c>
      <c r="G52" s="13" t="s">
        <v>1079</v>
      </c>
      <c r="H52" s="14">
        <v>0.01</v>
      </c>
      <c r="I52" s="13" t="s">
        <v>28</v>
      </c>
      <c r="J52" s="14">
        <v>1315804.56</v>
      </c>
      <c r="K52" s="13" t="s">
        <v>26</v>
      </c>
      <c r="L52" s="13">
        <v>182029</v>
      </c>
      <c r="M52" s="13" t="s">
        <v>1008</v>
      </c>
      <c r="N52" s="13"/>
      <c r="O52" s="13">
        <v>1</v>
      </c>
      <c r="P52" s="13"/>
      <c r="Q52" s="13"/>
    </row>
    <row r="53" spans="1:17" x14ac:dyDescent="0.25">
      <c r="A53" s="13">
        <v>8003879954</v>
      </c>
      <c r="B53" s="13">
        <v>29</v>
      </c>
      <c r="C53" s="13">
        <v>29092017</v>
      </c>
      <c r="D53" s="13">
        <v>489</v>
      </c>
      <c r="E53" s="13" t="s">
        <v>31</v>
      </c>
      <c r="F53" s="13">
        <v>9938</v>
      </c>
      <c r="G53" s="13" t="s">
        <v>1079</v>
      </c>
      <c r="H53" s="14">
        <v>0.1</v>
      </c>
      <c r="I53" s="13" t="s">
        <v>28</v>
      </c>
      <c r="J53" s="14">
        <v>1315804.57</v>
      </c>
      <c r="K53" s="13" t="s">
        <v>26</v>
      </c>
      <c r="L53" s="13">
        <v>182029</v>
      </c>
      <c r="M53" s="13" t="s">
        <v>1008</v>
      </c>
      <c r="N53" s="13"/>
      <c r="O53" s="13">
        <v>1</v>
      </c>
      <c r="P53" s="13"/>
      <c r="Q53" s="13"/>
    </row>
    <row r="54" spans="1:17" x14ac:dyDescent="0.25">
      <c r="A54" s="13">
        <v>8003879954</v>
      </c>
      <c r="B54" s="13">
        <v>28</v>
      </c>
      <c r="C54" s="13">
        <v>29092017</v>
      </c>
      <c r="D54" s="13">
        <v>341</v>
      </c>
      <c r="E54" s="13" t="s">
        <v>29</v>
      </c>
      <c r="F54" s="13">
        <v>9938</v>
      </c>
      <c r="G54" s="13" t="s">
        <v>1080</v>
      </c>
      <c r="H54" s="14">
        <v>530</v>
      </c>
      <c r="I54" s="13" t="s">
        <v>28</v>
      </c>
      <c r="J54" s="14">
        <v>1315804.67</v>
      </c>
      <c r="K54" s="13" t="s">
        <v>26</v>
      </c>
      <c r="L54" s="13">
        <v>182029</v>
      </c>
      <c r="M54" s="13" t="s">
        <v>1009</v>
      </c>
      <c r="N54" s="13"/>
      <c r="O54" s="13">
        <v>1</v>
      </c>
      <c r="P54" s="13" t="s">
        <v>1010</v>
      </c>
      <c r="Q54" s="13" t="s">
        <v>1011</v>
      </c>
    </row>
    <row r="55" spans="1:17" x14ac:dyDescent="0.25">
      <c r="A55" s="13">
        <v>8003879954</v>
      </c>
      <c r="B55" s="13">
        <v>27</v>
      </c>
      <c r="C55" s="13">
        <v>29092017</v>
      </c>
      <c r="D55" s="13">
        <v>299</v>
      </c>
      <c r="E55" s="13" t="s">
        <v>30</v>
      </c>
      <c r="F55" s="13">
        <v>9938</v>
      </c>
      <c r="G55" s="13" t="s">
        <v>1080</v>
      </c>
      <c r="H55" s="14">
        <v>0.01</v>
      </c>
      <c r="I55" s="13" t="s">
        <v>28</v>
      </c>
      <c r="J55" s="14">
        <v>1316334.67</v>
      </c>
      <c r="K55" s="13" t="s">
        <v>26</v>
      </c>
      <c r="L55" s="13">
        <v>182029</v>
      </c>
      <c r="M55" s="13" t="s">
        <v>1012</v>
      </c>
      <c r="N55" s="13"/>
      <c r="O55" s="13">
        <v>1</v>
      </c>
      <c r="P55" s="13"/>
      <c r="Q55" s="13"/>
    </row>
    <row r="56" spans="1:17" x14ac:dyDescent="0.25">
      <c r="A56" s="13">
        <v>8003879954</v>
      </c>
      <c r="B56" s="13">
        <v>26</v>
      </c>
      <c r="C56" s="13">
        <v>29092017</v>
      </c>
      <c r="D56" s="13">
        <v>489</v>
      </c>
      <c r="E56" s="13" t="s">
        <v>31</v>
      </c>
      <c r="F56" s="13">
        <v>9938</v>
      </c>
      <c r="G56" s="13" t="s">
        <v>1080</v>
      </c>
      <c r="H56" s="14">
        <v>0.1</v>
      </c>
      <c r="I56" s="13" t="s">
        <v>28</v>
      </c>
      <c r="J56" s="14">
        <v>1316334.68</v>
      </c>
      <c r="K56" s="13" t="s">
        <v>26</v>
      </c>
      <c r="L56" s="13">
        <v>182029</v>
      </c>
      <c r="M56" s="13" t="s">
        <v>1012</v>
      </c>
      <c r="N56" s="13"/>
      <c r="O56" s="13">
        <v>1</v>
      </c>
      <c r="P56" s="13"/>
      <c r="Q56" s="13"/>
    </row>
    <row r="57" spans="1:17" x14ac:dyDescent="0.25">
      <c r="A57" s="13">
        <v>8003879954</v>
      </c>
      <c r="B57" s="13">
        <v>25</v>
      </c>
      <c r="C57" s="13">
        <v>29092017</v>
      </c>
      <c r="D57" s="13">
        <v>345</v>
      </c>
      <c r="E57" s="13" t="s">
        <v>27</v>
      </c>
      <c r="F57" s="13">
        <v>9938</v>
      </c>
      <c r="G57" s="13" t="s">
        <v>1081</v>
      </c>
      <c r="H57" s="14">
        <v>298.79000000000002</v>
      </c>
      <c r="I57" s="13" t="s">
        <v>28</v>
      </c>
      <c r="J57" s="14">
        <v>1316334.78</v>
      </c>
      <c r="K57" s="13" t="s">
        <v>26</v>
      </c>
      <c r="L57" s="13">
        <v>182029</v>
      </c>
      <c r="M57" s="13" t="s">
        <v>1013</v>
      </c>
      <c r="N57" s="13"/>
      <c r="O57" s="13">
        <v>1</v>
      </c>
      <c r="P57" s="13" t="s">
        <v>1014</v>
      </c>
      <c r="Q57" s="13" t="s">
        <v>74</v>
      </c>
    </row>
    <row r="58" spans="1:17" x14ac:dyDescent="0.25">
      <c r="A58" s="13">
        <v>8003879954</v>
      </c>
      <c r="B58" s="13">
        <v>24</v>
      </c>
      <c r="C58" s="13">
        <v>29092017</v>
      </c>
      <c r="D58" s="13">
        <v>60</v>
      </c>
      <c r="E58" s="13" t="s">
        <v>43</v>
      </c>
      <c r="F58" s="13">
        <v>9938</v>
      </c>
      <c r="G58" s="13" t="s">
        <v>1082</v>
      </c>
      <c r="H58" s="14">
        <v>5300</v>
      </c>
      <c r="I58" s="13" t="s">
        <v>28</v>
      </c>
      <c r="J58" s="14">
        <v>1316633.57</v>
      </c>
      <c r="K58" s="13" t="s">
        <v>26</v>
      </c>
      <c r="L58" s="13">
        <v>182029</v>
      </c>
      <c r="M58" s="13" t="s">
        <v>1015</v>
      </c>
      <c r="N58" s="13"/>
      <c r="O58" s="13">
        <v>1</v>
      </c>
      <c r="P58" s="13" t="s">
        <v>1016</v>
      </c>
      <c r="Q58" s="13" t="s">
        <v>1017</v>
      </c>
    </row>
    <row r="59" spans="1:17" x14ac:dyDescent="0.25">
      <c r="A59" s="13">
        <v>8003879954</v>
      </c>
      <c r="B59" s="13">
        <v>23</v>
      </c>
      <c r="C59" s="13">
        <v>29092017</v>
      </c>
      <c r="D59" s="13">
        <v>341</v>
      </c>
      <c r="E59" s="13" t="s">
        <v>29</v>
      </c>
      <c r="F59" s="13">
        <v>9938</v>
      </c>
      <c r="G59" s="13" t="s">
        <v>1083</v>
      </c>
      <c r="H59" s="14">
        <v>1000</v>
      </c>
      <c r="I59" s="13" t="s">
        <v>28</v>
      </c>
      <c r="J59" s="14">
        <v>1321933.57</v>
      </c>
      <c r="K59" s="13" t="s">
        <v>26</v>
      </c>
      <c r="L59" s="13">
        <v>181645</v>
      </c>
      <c r="M59" s="13" t="s">
        <v>374</v>
      </c>
      <c r="N59" s="13"/>
      <c r="O59" s="13">
        <v>1</v>
      </c>
      <c r="P59" s="13" t="s">
        <v>1018</v>
      </c>
      <c r="Q59" s="13" t="s">
        <v>1019</v>
      </c>
    </row>
    <row r="60" spans="1:17" x14ac:dyDescent="0.25">
      <c r="A60" s="13">
        <v>8003879954</v>
      </c>
      <c r="B60" s="13">
        <v>22</v>
      </c>
      <c r="C60" s="13">
        <v>29092017</v>
      </c>
      <c r="D60" s="13">
        <v>299</v>
      </c>
      <c r="E60" s="13" t="s">
        <v>30</v>
      </c>
      <c r="F60" s="13">
        <v>9938</v>
      </c>
      <c r="G60" s="13" t="s">
        <v>1083</v>
      </c>
      <c r="H60" s="14">
        <v>0.01</v>
      </c>
      <c r="I60" s="13" t="s">
        <v>28</v>
      </c>
      <c r="J60" s="14">
        <v>1322933.57</v>
      </c>
      <c r="K60" s="13" t="s">
        <v>26</v>
      </c>
      <c r="L60" s="13">
        <v>181645</v>
      </c>
      <c r="M60" s="13" t="s">
        <v>1020</v>
      </c>
      <c r="N60" s="13"/>
      <c r="O60" s="13">
        <v>1</v>
      </c>
      <c r="P60" s="13"/>
      <c r="Q60" s="13"/>
    </row>
    <row r="61" spans="1:17" x14ac:dyDescent="0.25">
      <c r="A61" s="13">
        <v>8003879954</v>
      </c>
      <c r="B61" s="13">
        <v>21</v>
      </c>
      <c r="C61" s="13">
        <v>29092017</v>
      </c>
      <c r="D61" s="13">
        <v>489</v>
      </c>
      <c r="E61" s="13" t="s">
        <v>31</v>
      </c>
      <c r="F61" s="13">
        <v>9938</v>
      </c>
      <c r="G61" s="13" t="s">
        <v>1083</v>
      </c>
      <c r="H61" s="14">
        <v>0.1</v>
      </c>
      <c r="I61" s="13" t="s">
        <v>28</v>
      </c>
      <c r="J61" s="14">
        <v>1322933.58</v>
      </c>
      <c r="K61" s="13" t="s">
        <v>26</v>
      </c>
      <c r="L61" s="13">
        <v>181645</v>
      </c>
      <c r="M61" s="13" t="s">
        <v>1020</v>
      </c>
      <c r="N61" s="13"/>
      <c r="O61" s="13">
        <v>1</v>
      </c>
      <c r="P61" s="13"/>
      <c r="Q61" s="13"/>
    </row>
    <row r="62" spans="1:17" x14ac:dyDescent="0.25">
      <c r="A62" s="13">
        <v>8003879954</v>
      </c>
      <c r="B62" s="13">
        <v>20</v>
      </c>
      <c r="C62" s="13">
        <v>29092017</v>
      </c>
      <c r="D62" s="13">
        <v>341</v>
      </c>
      <c r="E62" s="13" t="s">
        <v>29</v>
      </c>
      <c r="F62" s="13">
        <v>9938</v>
      </c>
      <c r="G62" s="13" t="s">
        <v>1084</v>
      </c>
      <c r="H62" s="14">
        <v>22.75</v>
      </c>
      <c r="I62" s="13" t="s">
        <v>28</v>
      </c>
      <c r="J62" s="14">
        <v>1322933.68</v>
      </c>
      <c r="K62" s="13" t="s">
        <v>26</v>
      </c>
      <c r="L62" s="13">
        <v>181645</v>
      </c>
      <c r="M62" s="13" t="s">
        <v>620</v>
      </c>
      <c r="N62" s="13"/>
      <c r="O62" s="13">
        <v>1</v>
      </c>
      <c r="P62" s="13" t="s">
        <v>1021</v>
      </c>
      <c r="Q62" s="13" t="s">
        <v>1022</v>
      </c>
    </row>
    <row r="63" spans="1:17" x14ac:dyDescent="0.25">
      <c r="A63" s="13">
        <v>8003879954</v>
      </c>
      <c r="B63" s="13">
        <v>19</v>
      </c>
      <c r="C63" s="13">
        <v>29092017</v>
      </c>
      <c r="D63" s="13">
        <v>299</v>
      </c>
      <c r="E63" s="13" t="s">
        <v>30</v>
      </c>
      <c r="F63" s="13">
        <v>9938</v>
      </c>
      <c r="G63" s="13" t="s">
        <v>1084</v>
      </c>
      <c r="H63" s="14">
        <v>0.01</v>
      </c>
      <c r="I63" s="13" t="s">
        <v>28</v>
      </c>
      <c r="J63" s="14">
        <v>1322956.43</v>
      </c>
      <c r="K63" s="13" t="s">
        <v>26</v>
      </c>
      <c r="L63" s="13">
        <v>181645</v>
      </c>
      <c r="M63" s="13" t="s">
        <v>1023</v>
      </c>
      <c r="N63" s="13"/>
      <c r="O63" s="13">
        <v>1</v>
      </c>
      <c r="P63" s="13"/>
      <c r="Q63" s="13"/>
    </row>
    <row r="64" spans="1:17" x14ac:dyDescent="0.25">
      <c r="A64" s="13">
        <v>8003879954</v>
      </c>
      <c r="B64" s="13">
        <v>18</v>
      </c>
      <c r="C64" s="13">
        <v>29092017</v>
      </c>
      <c r="D64" s="13">
        <v>489</v>
      </c>
      <c r="E64" s="13" t="s">
        <v>31</v>
      </c>
      <c r="F64" s="13">
        <v>9938</v>
      </c>
      <c r="G64" s="13" t="s">
        <v>1084</v>
      </c>
      <c r="H64" s="14">
        <v>0.1</v>
      </c>
      <c r="I64" s="13" t="s">
        <v>28</v>
      </c>
      <c r="J64" s="14">
        <v>1322956.44</v>
      </c>
      <c r="K64" s="13" t="s">
        <v>26</v>
      </c>
      <c r="L64" s="13">
        <v>181645</v>
      </c>
      <c r="M64" s="13" t="s">
        <v>1023</v>
      </c>
      <c r="N64" s="13"/>
      <c r="O64" s="13">
        <v>1</v>
      </c>
      <c r="P64" s="13"/>
      <c r="Q64" s="13"/>
    </row>
    <row r="65" spans="1:17" x14ac:dyDescent="0.25">
      <c r="A65" s="13">
        <v>8003879954</v>
      </c>
      <c r="B65" s="13">
        <v>17</v>
      </c>
      <c r="C65" s="13">
        <v>29092017</v>
      </c>
      <c r="D65" s="13">
        <v>341</v>
      </c>
      <c r="E65" s="13" t="s">
        <v>29</v>
      </c>
      <c r="F65" s="13">
        <v>9938</v>
      </c>
      <c r="G65" s="13" t="s">
        <v>1085</v>
      </c>
      <c r="H65" s="14">
        <v>2490</v>
      </c>
      <c r="I65" s="13" t="s">
        <v>28</v>
      </c>
      <c r="J65" s="14">
        <v>1322956.54</v>
      </c>
      <c r="K65" s="13" t="s">
        <v>26</v>
      </c>
      <c r="L65" s="13">
        <v>181645</v>
      </c>
      <c r="M65" s="13" t="s">
        <v>379</v>
      </c>
      <c r="N65" s="13"/>
      <c r="O65" s="13">
        <v>1</v>
      </c>
      <c r="P65" s="13" t="s">
        <v>1024</v>
      </c>
      <c r="Q65" s="13" t="s">
        <v>1025</v>
      </c>
    </row>
    <row r="66" spans="1:17" x14ac:dyDescent="0.25">
      <c r="A66" s="13">
        <v>8003879954</v>
      </c>
      <c r="B66" s="13">
        <v>16</v>
      </c>
      <c r="C66" s="13">
        <v>29092017</v>
      </c>
      <c r="D66" s="13">
        <v>299</v>
      </c>
      <c r="E66" s="13" t="s">
        <v>30</v>
      </c>
      <c r="F66" s="13">
        <v>9938</v>
      </c>
      <c r="G66" s="13" t="s">
        <v>1085</v>
      </c>
      <c r="H66" s="14">
        <v>0.01</v>
      </c>
      <c r="I66" s="13" t="s">
        <v>28</v>
      </c>
      <c r="J66" s="14">
        <v>1325446.54</v>
      </c>
      <c r="K66" s="13" t="s">
        <v>26</v>
      </c>
      <c r="L66" s="13">
        <v>181645</v>
      </c>
      <c r="M66" s="13" t="s">
        <v>1026</v>
      </c>
      <c r="N66" s="13"/>
      <c r="O66" s="13">
        <v>1</v>
      </c>
      <c r="P66" s="13"/>
      <c r="Q66" s="13"/>
    </row>
    <row r="67" spans="1:17" x14ac:dyDescent="0.25">
      <c r="A67" s="13">
        <v>8003879954</v>
      </c>
      <c r="B67" s="13">
        <v>15</v>
      </c>
      <c r="C67" s="13">
        <v>29092017</v>
      </c>
      <c r="D67" s="13">
        <v>489</v>
      </c>
      <c r="E67" s="13" t="s">
        <v>31</v>
      </c>
      <c r="F67" s="13">
        <v>9938</v>
      </c>
      <c r="G67" s="13" t="s">
        <v>1085</v>
      </c>
      <c r="H67" s="14">
        <v>0.1</v>
      </c>
      <c r="I67" s="13" t="s">
        <v>28</v>
      </c>
      <c r="J67" s="14">
        <v>1325446.55</v>
      </c>
      <c r="K67" s="13" t="s">
        <v>26</v>
      </c>
      <c r="L67" s="13">
        <v>181645</v>
      </c>
      <c r="M67" s="13" t="s">
        <v>1026</v>
      </c>
      <c r="N67" s="13"/>
      <c r="O67" s="13">
        <v>1</v>
      </c>
      <c r="P67" s="13"/>
      <c r="Q67" s="13"/>
    </row>
    <row r="68" spans="1:17" x14ac:dyDescent="0.25">
      <c r="A68" s="13">
        <v>8003879954</v>
      </c>
      <c r="B68" s="13">
        <v>14</v>
      </c>
      <c r="C68" s="13">
        <v>29092017</v>
      </c>
      <c r="D68" s="13">
        <v>345</v>
      </c>
      <c r="E68" s="13" t="s">
        <v>27</v>
      </c>
      <c r="F68" s="13">
        <v>9938</v>
      </c>
      <c r="G68" s="13" t="s">
        <v>1086</v>
      </c>
      <c r="H68" s="14">
        <v>800</v>
      </c>
      <c r="I68" s="13" t="s">
        <v>28</v>
      </c>
      <c r="J68" s="14">
        <v>1325446.6499999999</v>
      </c>
      <c r="K68" s="13" t="s">
        <v>26</v>
      </c>
      <c r="L68" s="13">
        <v>181644</v>
      </c>
      <c r="M68" s="13" t="s">
        <v>1027</v>
      </c>
      <c r="N68" s="13"/>
      <c r="O68" s="13">
        <v>1</v>
      </c>
      <c r="P68" s="13" t="s">
        <v>1028</v>
      </c>
      <c r="Q68" s="13" t="s">
        <v>1029</v>
      </c>
    </row>
    <row r="69" spans="1:17" x14ac:dyDescent="0.25">
      <c r="A69" s="13">
        <v>8003879954</v>
      </c>
      <c r="B69" s="13">
        <v>13</v>
      </c>
      <c r="C69" s="13">
        <v>29092017</v>
      </c>
      <c r="D69" s="13">
        <v>341</v>
      </c>
      <c r="E69" s="13" t="s">
        <v>29</v>
      </c>
      <c r="F69" s="13">
        <v>9938</v>
      </c>
      <c r="G69" s="13" t="s">
        <v>1087</v>
      </c>
      <c r="H69" s="14">
        <v>339.2</v>
      </c>
      <c r="I69" s="13" t="s">
        <v>28</v>
      </c>
      <c r="J69" s="14">
        <v>1326246.6499999999</v>
      </c>
      <c r="K69" s="13" t="s">
        <v>26</v>
      </c>
      <c r="L69" s="13">
        <v>181644</v>
      </c>
      <c r="M69" s="13" t="s">
        <v>120</v>
      </c>
      <c r="N69" s="13"/>
      <c r="O69" s="13">
        <v>1</v>
      </c>
      <c r="P69" s="13" t="s">
        <v>1030</v>
      </c>
      <c r="Q69" s="13" t="s">
        <v>1031</v>
      </c>
    </row>
    <row r="70" spans="1:17" x14ac:dyDescent="0.25">
      <c r="A70" s="13">
        <v>8003879954</v>
      </c>
      <c r="B70" s="13">
        <v>12</v>
      </c>
      <c r="C70" s="13">
        <v>29092017</v>
      </c>
      <c r="D70" s="13">
        <v>299</v>
      </c>
      <c r="E70" s="13" t="s">
        <v>30</v>
      </c>
      <c r="F70" s="13">
        <v>9938</v>
      </c>
      <c r="G70" s="13" t="s">
        <v>1087</v>
      </c>
      <c r="H70" s="14">
        <v>0.01</v>
      </c>
      <c r="I70" s="13" t="s">
        <v>28</v>
      </c>
      <c r="J70" s="14">
        <v>1326585.8500000001</v>
      </c>
      <c r="K70" s="13" t="s">
        <v>26</v>
      </c>
      <c r="L70" s="13">
        <v>181644</v>
      </c>
      <c r="M70" s="13" t="s">
        <v>1032</v>
      </c>
      <c r="N70" s="13"/>
      <c r="O70" s="13">
        <v>1</v>
      </c>
      <c r="P70" s="13"/>
      <c r="Q70" s="13"/>
    </row>
    <row r="71" spans="1:17" x14ac:dyDescent="0.25">
      <c r="A71" s="13">
        <v>8003879954</v>
      </c>
      <c r="B71" s="13">
        <v>11</v>
      </c>
      <c r="C71" s="13">
        <v>29092017</v>
      </c>
      <c r="D71" s="13">
        <v>489</v>
      </c>
      <c r="E71" s="13" t="s">
        <v>31</v>
      </c>
      <c r="F71" s="13">
        <v>9938</v>
      </c>
      <c r="G71" s="13" t="s">
        <v>1087</v>
      </c>
      <c r="H71" s="14">
        <v>0.1</v>
      </c>
      <c r="I71" s="13" t="s">
        <v>28</v>
      </c>
      <c r="J71" s="14">
        <v>1326585.8600000001</v>
      </c>
      <c r="K71" s="13" t="s">
        <v>26</v>
      </c>
      <c r="L71" s="13">
        <v>181644</v>
      </c>
      <c r="M71" s="13" t="s">
        <v>1032</v>
      </c>
      <c r="N71" s="13"/>
      <c r="O71" s="13">
        <v>1</v>
      </c>
      <c r="P71" s="13"/>
      <c r="Q71" s="13"/>
    </row>
    <row r="72" spans="1:17" x14ac:dyDescent="0.25">
      <c r="A72" s="13">
        <v>8003879954</v>
      </c>
      <c r="B72" s="13">
        <v>10</v>
      </c>
      <c r="C72" s="13">
        <v>29092017</v>
      </c>
      <c r="D72" s="13">
        <v>341</v>
      </c>
      <c r="E72" s="13" t="s">
        <v>29</v>
      </c>
      <c r="F72" s="13">
        <v>9938</v>
      </c>
      <c r="G72" s="13" t="s">
        <v>1088</v>
      </c>
      <c r="H72" s="14">
        <v>3180</v>
      </c>
      <c r="I72" s="13" t="s">
        <v>28</v>
      </c>
      <c r="J72" s="14">
        <v>1326585.96</v>
      </c>
      <c r="K72" s="13" t="s">
        <v>26</v>
      </c>
      <c r="L72" s="13">
        <v>181644</v>
      </c>
      <c r="M72" s="13" t="s">
        <v>1033</v>
      </c>
      <c r="N72" s="13"/>
      <c r="O72" s="13">
        <v>1</v>
      </c>
      <c r="P72" s="13" t="s">
        <v>1034</v>
      </c>
      <c r="Q72" s="13" t="s">
        <v>1035</v>
      </c>
    </row>
    <row r="73" spans="1:17" x14ac:dyDescent="0.25">
      <c r="A73" s="13">
        <v>8003879954</v>
      </c>
      <c r="B73" s="13">
        <v>9</v>
      </c>
      <c r="C73" s="13">
        <v>29092017</v>
      </c>
      <c r="D73" s="13">
        <v>299</v>
      </c>
      <c r="E73" s="13" t="s">
        <v>30</v>
      </c>
      <c r="F73" s="13">
        <v>9938</v>
      </c>
      <c r="G73" s="13" t="s">
        <v>1088</v>
      </c>
      <c r="H73" s="14">
        <v>0.01</v>
      </c>
      <c r="I73" s="13" t="s">
        <v>28</v>
      </c>
      <c r="J73" s="14">
        <v>1329765.96</v>
      </c>
      <c r="K73" s="13" t="s">
        <v>26</v>
      </c>
      <c r="L73" s="13">
        <v>181644</v>
      </c>
      <c r="M73" s="13" t="s">
        <v>1036</v>
      </c>
      <c r="N73" s="13"/>
      <c r="O73" s="13">
        <v>1</v>
      </c>
      <c r="P73" s="13"/>
      <c r="Q73" s="13"/>
    </row>
    <row r="74" spans="1:17" x14ac:dyDescent="0.25">
      <c r="A74" s="13">
        <v>8003879954</v>
      </c>
      <c r="B74" s="13">
        <v>8</v>
      </c>
      <c r="C74" s="13">
        <v>29092017</v>
      </c>
      <c r="D74" s="13">
        <v>489</v>
      </c>
      <c r="E74" s="13" t="s">
        <v>31</v>
      </c>
      <c r="F74" s="13">
        <v>9938</v>
      </c>
      <c r="G74" s="13" t="s">
        <v>1088</v>
      </c>
      <c r="H74" s="14">
        <v>0.1</v>
      </c>
      <c r="I74" s="13" t="s">
        <v>28</v>
      </c>
      <c r="J74" s="14">
        <v>1329765.97</v>
      </c>
      <c r="K74" s="13" t="s">
        <v>26</v>
      </c>
      <c r="L74" s="13">
        <v>181644</v>
      </c>
      <c r="M74" s="13" t="s">
        <v>1036</v>
      </c>
      <c r="N74" s="13"/>
      <c r="O74" s="13">
        <v>1</v>
      </c>
      <c r="P74" s="13"/>
      <c r="Q74" s="13"/>
    </row>
    <row r="75" spans="1:17" x14ac:dyDescent="0.25">
      <c r="A75" s="13">
        <v>8003879954</v>
      </c>
      <c r="B75" s="13">
        <v>7</v>
      </c>
      <c r="C75" s="13">
        <v>29092017</v>
      </c>
      <c r="D75" s="13">
        <v>341</v>
      </c>
      <c r="E75" s="13" t="s">
        <v>29</v>
      </c>
      <c r="F75" s="13">
        <v>9938</v>
      </c>
      <c r="G75" s="13" t="s">
        <v>1089</v>
      </c>
      <c r="H75" s="14">
        <v>8560</v>
      </c>
      <c r="I75" s="13" t="s">
        <v>28</v>
      </c>
      <c r="J75" s="14">
        <v>1329766.07</v>
      </c>
      <c r="K75" s="13" t="s">
        <v>26</v>
      </c>
      <c r="L75" s="13">
        <v>181644</v>
      </c>
      <c r="M75" s="13" t="s">
        <v>1037</v>
      </c>
      <c r="N75" s="13"/>
      <c r="O75" s="13">
        <v>1</v>
      </c>
      <c r="P75" s="13" t="s">
        <v>1038</v>
      </c>
      <c r="Q75" s="13" t="s">
        <v>1039</v>
      </c>
    </row>
    <row r="76" spans="1:17" x14ac:dyDescent="0.25">
      <c r="A76" s="13">
        <v>8003879954</v>
      </c>
      <c r="B76" s="13">
        <v>6</v>
      </c>
      <c r="C76" s="13">
        <v>29092017</v>
      </c>
      <c r="D76" s="13">
        <v>299</v>
      </c>
      <c r="E76" s="13" t="s">
        <v>30</v>
      </c>
      <c r="F76" s="13">
        <v>9938</v>
      </c>
      <c r="G76" s="13" t="s">
        <v>1089</v>
      </c>
      <c r="H76" s="14">
        <v>0.01</v>
      </c>
      <c r="I76" s="13" t="s">
        <v>28</v>
      </c>
      <c r="J76" s="14">
        <v>1338326.07</v>
      </c>
      <c r="K76" s="13" t="s">
        <v>26</v>
      </c>
      <c r="L76" s="13">
        <v>181644</v>
      </c>
      <c r="M76" s="13" t="s">
        <v>1040</v>
      </c>
      <c r="N76" s="13"/>
      <c r="O76" s="13">
        <v>1</v>
      </c>
      <c r="P76" s="13"/>
      <c r="Q76" s="13"/>
    </row>
    <row r="77" spans="1:17" x14ac:dyDescent="0.25">
      <c r="A77" s="13">
        <v>8003879954</v>
      </c>
      <c r="B77" s="13">
        <v>5</v>
      </c>
      <c r="C77" s="13">
        <v>29092017</v>
      </c>
      <c r="D77" s="13">
        <v>489</v>
      </c>
      <c r="E77" s="13" t="s">
        <v>31</v>
      </c>
      <c r="F77" s="13">
        <v>9938</v>
      </c>
      <c r="G77" s="13" t="s">
        <v>1089</v>
      </c>
      <c r="H77" s="14">
        <v>0.1</v>
      </c>
      <c r="I77" s="13" t="s">
        <v>28</v>
      </c>
      <c r="J77" s="14">
        <v>1338326.08</v>
      </c>
      <c r="K77" s="13" t="s">
        <v>26</v>
      </c>
      <c r="L77" s="13">
        <v>181644</v>
      </c>
      <c r="M77" s="13" t="s">
        <v>1040</v>
      </c>
      <c r="N77" s="13"/>
      <c r="O77" s="13">
        <v>1</v>
      </c>
      <c r="P77" s="13"/>
      <c r="Q77" s="13"/>
    </row>
    <row r="78" spans="1:17" x14ac:dyDescent="0.25">
      <c r="A78" s="13">
        <v>8003879954</v>
      </c>
      <c r="B78" s="13">
        <v>4</v>
      </c>
      <c r="C78" s="13">
        <v>29092017</v>
      </c>
      <c r="D78" s="13">
        <v>341</v>
      </c>
      <c r="E78" s="13" t="s">
        <v>29</v>
      </c>
      <c r="F78" s="13">
        <v>9938</v>
      </c>
      <c r="G78" s="13" t="s">
        <v>1090</v>
      </c>
      <c r="H78" s="14">
        <v>150</v>
      </c>
      <c r="I78" s="13" t="s">
        <v>28</v>
      </c>
      <c r="J78" s="14">
        <v>1338326.18</v>
      </c>
      <c r="K78" s="13" t="s">
        <v>26</v>
      </c>
      <c r="L78" s="13">
        <v>181644</v>
      </c>
      <c r="M78" s="13" t="s">
        <v>178</v>
      </c>
      <c r="N78" s="13"/>
      <c r="O78" s="13">
        <v>1</v>
      </c>
      <c r="P78" s="13" t="s">
        <v>1041</v>
      </c>
      <c r="Q78" s="13" t="s">
        <v>1042</v>
      </c>
    </row>
    <row r="79" spans="1:17" x14ac:dyDescent="0.25">
      <c r="A79" s="13">
        <v>8003879954</v>
      </c>
      <c r="B79" s="13">
        <v>3</v>
      </c>
      <c r="C79" s="13">
        <v>29092017</v>
      </c>
      <c r="D79" s="13">
        <v>299</v>
      </c>
      <c r="E79" s="13" t="s">
        <v>30</v>
      </c>
      <c r="F79" s="13">
        <v>9938</v>
      </c>
      <c r="G79" s="13" t="s">
        <v>1090</v>
      </c>
      <c r="H79" s="14">
        <v>0.01</v>
      </c>
      <c r="I79" s="13" t="s">
        <v>28</v>
      </c>
      <c r="J79" s="14">
        <v>1338476.18</v>
      </c>
      <c r="K79" s="13" t="s">
        <v>26</v>
      </c>
      <c r="L79" s="13">
        <v>181644</v>
      </c>
      <c r="M79" s="13" t="s">
        <v>1043</v>
      </c>
      <c r="N79" s="13"/>
      <c r="O79" s="13">
        <v>1</v>
      </c>
      <c r="P79" s="13"/>
      <c r="Q79" s="13"/>
    </row>
    <row r="80" spans="1:17" x14ac:dyDescent="0.25">
      <c r="A80" s="13">
        <v>8003879954</v>
      </c>
      <c r="B80" s="13">
        <v>2</v>
      </c>
      <c r="C80" s="13">
        <v>29092017</v>
      </c>
      <c r="D80" s="13">
        <v>489</v>
      </c>
      <c r="E80" s="13" t="s">
        <v>31</v>
      </c>
      <c r="F80" s="13">
        <v>9938</v>
      </c>
      <c r="G80" s="13" t="s">
        <v>1090</v>
      </c>
      <c r="H80" s="14">
        <v>0.1</v>
      </c>
      <c r="I80" s="13" t="s">
        <v>28</v>
      </c>
      <c r="J80" s="14">
        <v>1338476.19</v>
      </c>
      <c r="K80" s="13" t="s">
        <v>26</v>
      </c>
      <c r="L80" s="13">
        <v>181644</v>
      </c>
      <c r="M80" s="13" t="s">
        <v>1043</v>
      </c>
      <c r="N80" s="13"/>
      <c r="O80" s="13">
        <v>1</v>
      </c>
      <c r="P80" s="13"/>
      <c r="Q80" s="13"/>
    </row>
    <row r="81" spans="1:18" x14ac:dyDescent="0.25">
      <c r="A81" s="13">
        <v>8003879954</v>
      </c>
      <c r="B81" s="13">
        <v>1</v>
      </c>
      <c r="C81" s="13">
        <v>29092017</v>
      </c>
      <c r="D81" s="13">
        <v>60</v>
      </c>
      <c r="E81" s="13" t="s">
        <v>43</v>
      </c>
      <c r="F81" s="13">
        <v>9938</v>
      </c>
      <c r="G81" s="13" t="s">
        <v>1091</v>
      </c>
      <c r="H81" s="14">
        <v>1060</v>
      </c>
      <c r="I81" s="13" t="s">
        <v>28</v>
      </c>
      <c r="J81" s="14">
        <v>1338476.29</v>
      </c>
      <c r="K81" s="13" t="s">
        <v>26</v>
      </c>
      <c r="L81" s="13">
        <v>181643</v>
      </c>
      <c r="M81" s="13" t="s">
        <v>1044</v>
      </c>
      <c r="N81" s="13"/>
      <c r="O81" s="13">
        <v>1</v>
      </c>
      <c r="P81" s="13" t="s">
        <v>1045</v>
      </c>
      <c r="Q81" s="13" t="s">
        <v>1046</v>
      </c>
    </row>
    <row r="82" spans="1:18" hidden="1" x14ac:dyDescent="0.25">
      <c r="A82" s="13">
        <v>8003879954</v>
      </c>
      <c r="B82" s="13">
        <v>1</v>
      </c>
      <c r="C82" s="13">
        <v>28092017</v>
      </c>
      <c r="D82" s="13">
        <v>5</v>
      </c>
      <c r="E82" s="13" t="s">
        <v>42</v>
      </c>
      <c r="F82" s="13"/>
      <c r="G82" s="13"/>
      <c r="H82" s="14">
        <v>500000</v>
      </c>
      <c r="I82" s="13" t="s">
        <v>26</v>
      </c>
      <c r="J82" s="14">
        <v>1339536.29</v>
      </c>
      <c r="K82" s="13" t="s">
        <v>26</v>
      </c>
      <c r="L82" s="13">
        <v>154549</v>
      </c>
      <c r="M82" s="13" t="s">
        <v>1047</v>
      </c>
      <c r="N82" s="13"/>
      <c r="O82" s="13">
        <v>1</v>
      </c>
      <c r="P82" s="13" t="s">
        <v>1048</v>
      </c>
      <c r="Q82" s="13" t="s">
        <v>59</v>
      </c>
      <c r="R82" s="13" t="s">
        <v>60</v>
      </c>
    </row>
    <row r="83" spans="1:18" x14ac:dyDescent="0.25">
      <c r="A83" s="13">
        <v>8003879954</v>
      </c>
      <c r="B83" s="13">
        <v>2</v>
      </c>
      <c r="C83" s="13">
        <v>27092017</v>
      </c>
      <c r="D83" s="13">
        <v>346</v>
      </c>
      <c r="E83" s="13" t="s">
        <v>1049</v>
      </c>
      <c r="F83" s="13">
        <v>9938</v>
      </c>
      <c r="G83" s="13" t="s">
        <v>1092</v>
      </c>
      <c r="H83" s="14">
        <v>2020.84</v>
      </c>
      <c r="I83" s="13" t="s">
        <v>28</v>
      </c>
      <c r="J83" s="14">
        <v>839536.29</v>
      </c>
      <c r="K83" s="13" t="s">
        <v>26</v>
      </c>
      <c r="L83" s="13">
        <v>204808</v>
      </c>
      <c r="M83" s="13" t="s">
        <v>1050</v>
      </c>
      <c r="N83" s="13"/>
      <c r="O83" s="13">
        <v>1</v>
      </c>
      <c r="P83" s="13" t="s">
        <v>1051</v>
      </c>
      <c r="Q83" s="13" t="s">
        <v>1052</v>
      </c>
      <c r="R83" s="13"/>
    </row>
    <row r="84" spans="1:18" hidden="1" x14ac:dyDescent="0.25">
      <c r="A84" s="13">
        <v>8003879954</v>
      </c>
      <c r="B84" s="13">
        <v>1</v>
      </c>
      <c r="C84" s="13">
        <v>27092017</v>
      </c>
      <c r="D84" s="13">
        <v>123</v>
      </c>
      <c r="E84" s="13" t="s">
        <v>38</v>
      </c>
      <c r="F84" s="13">
        <v>2007</v>
      </c>
      <c r="G84" s="13" t="s">
        <v>1093</v>
      </c>
      <c r="H84" s="14">
        <v>1000</v>
      </c>
      <c r="I84" s="13" t="s">
        <v>26</v>
      </c>
      <c r="J84" s="14">
        <v>841557.13</v>
      </c>
      <c r="K84" s="13" t="s">
        <v>26</v>
      </c>
      <c r="L84" s="13">
        <v>190324</v>
      </c>
      <c r="M84" s="13" t="s">
        <v>53</v>
      </c>
      <c r="N84" s="13"/>
      <c r="O84" s="13">
        <v>1</v>
      </c>
      <c r="P84" s="13"/>
      <c r="Q84" s="13"/>
      <c r="R84" s="13"/>
    </row>
    <row r="85" spans="1:18" x14ac:dyDescent="0.25">
      <c r="A85" s="13">
        <v>8003879954</v>
      </c>
      <c r="B85" s="13">
        <v>8</v>
      </c>
      <c r="C85" s="13">
        <v>25092017</v>
      </c>
      <c r="D85" s="13">
        <v>299</v>
      </c>
      <c r="E85" s="13" t="s">
        <v>30</v>
      </c>
      <c r="F85" s="13"/>
      <c r="G85" s="13"/>
      <c r="H85" s="14">
        <v>0.03</v>
      </c>
      <c r="I85" s="13" t="s">
        <v>28</v>
      </c>
      <c r="J85" s="14">
        <v>840557.13</v>
      </c>
      <c r="K85" s="13" t="s">
        <v>26</v>
      </c>
      <c r="L85" s="13">
        <v>10032</v>
      </c>
      <c r="M85" s="13" t="s">
        <v>53</v>
      </c>
      <c r="N85" s="13"/>
      <c r="O85" s="13">
        <v>1</v>
      </c>
      <c r="P85" s="13"/>
      <c r="Q85" s="13"/>
      <c r="R85" s="13"/>
    </row>
    <row r="86" spans="1:18" x14ac:dyDescent="0.25">
      <c r="A86" s="13">
        <v>8003879954</v>
      </c>
      <c r="B86" s="13">
        <v>7</v>
      </c>
      <c r="C86" s="13">
        <v>25092017</v>
      </c>
      <c r="D86" s="13">
        <v>819</v>
      </c>
      <c r="E86" s="13" t="s">
        <v>32</v>
      </c>
      <c r="F86" s="13"/>
      <c r="G86" s="13"/>
      <c r="H86" s="14">
        <v>0.5</v>
      </c>
      <c r="I86" s="13" t="s">
        <v>28</v>
      </c>
      <c r="J86" s="14">
        <v>840557.16</v>
      </c>
      <c r="K86" s="13" t="s">
        <v>26</v>
      </c>
      <c r="L86" s="13">
        <v>10032</v>
      </c>
      <c r="M86" s="13" t="s">
        <v>53</v>
      </c>
      <c r="N86" s="13"/>
      <c r="O86" s="13">
        <v>1</v>
      </c>
      <c r="P86" s="13"/>
      <c r="Q86" s="13"/>
      <c r="R86" s="13"/>
    </row>
    <row r="87" spans="1:18" x14ac:dyDescent="0.25">
      <c r="A87" s="13">
        <v>8003879954</v>
      </c>
      <c r="B87" s="13">
        <v>6</v>
      </c>
      <c r="C87" s="13">
        <v>25092017</v>
      </c>
      <c r="D87" s="13">
        <v>321</v>
      </c>
      <c r="E87" s="13" t="s">
        <v>37</v>
      </c>
      <c r="F87" s="13">
        <v>0</v>
      </c>
      <c r="G87" s="13" t="s">
        <v>1094</v>
      </c>
      <c r="H87" s="14">
        <v>32409.5</v>
      </c>
      <c r="I87" s="13" t="s">
        <v>28</v>
      </c>
      <c r="J87" s="14">
        <v>840557.66</v>
      </c>
      <c r="K87" s="13" t="s">
        <v>26</v>
      </c>
      <c r="L87" s="13">
        <v>5825</v>
      </c>
      <c r="M87" s="13" t="s">
        <v>53</v>
      </c>
      <c r="N87" s="13"/>
      <c r="O87" s="13">
        <v>1</v>
      </c>
      <c r="P87" s="13"/>
      <c r="Q87" s="13"/>
      <c r="R87" s="13"/>
    </row>
    <row r="88" spans="1:18" hidden="1" x14ac:dyDescent="0.25">
      <c r="A88" s="13">
        <v>8003879954</v>
      </c>
      <c r="B88" s="13">
        <v>5</v>
      </c>
      <c r="C88" s="13">
        <v>25092017</v>
      </c>
      <c r="D88" s="13">
        <v>123</v>
      </c>
      <c r="E88" s="13" t="s">
        <v>38</v>
      </c>
      <c r="F88" s="13">
        <v>2007</v>
      </c>
      <c r="G88" s="13" t="s">
        <v>1095</v>
      </c>
      <c r="H88" s="14">
        <v>5000</v>
      </c>
      <c r="I88" s="13" t="s">
        <v>26</v>
      </c>
      <c r="J88" s="14">
        <v>872967.16</v>
      </c>
      <c r="K88" s="13" t="s">
        <v>26</v>
      </c>
      <c r="L88" s="13">
        <v>190642</v>
      </c>
      <c r="M88" s="13" t="s">
        <v>53</v>
      </c>
      <c r="N88" s="13"/>
      <c r="O88" s="13">
        <v>1</v>
      </c>
      <c r="P88" s="13"/>
      <c r="Q88" s="13"/>
      <c r="R88" s="13"/>
    </row>
    <row r="89" spans="1:18" x14ac:dyDescent="0.25">
      <c r="A89" s="13">
        <v>8003879954</v>
      </c>
      <c r="B89" s="13">
        <v>4</v>
      </c>
      <c r="C89" s="13">
        <v>25092017</v>
      </c>
      <c r="D89" s="13">
        <v>299</v>
      </c>
      <c r="E89" s="13" t="s">
        <v>44</v>
      </c>
      <c r="F89" s="13">
        <v>72</v>
      </c>
      <c r="G89" s="13" t="s">
        <v>1096</v>
      </c>
      <c r="H89" s="14">
        <v>1.8</v>
      </c>
      <c r="I89" s="13" t="s">
        <v>28</v>
      </c>
      <c r="J89" s="14">
        <v>867967.16</v>
      </c>
      <c r="K89" s="13" t="s">
        <v>26</v>
      </c>
      <c r="L89" s="13">
        <v>163007</v>
      </c>
      <c r="M89" s="13" t="s">
        <v>1053</v>
      </c>
      <c r="N89" s="13"/>
      <c r="O89" s="13">
        <v>1</v>
      </c>
      <c r="P89" s="13"/>
      <c r="Q89" s="13"/>
      <c r="R89" s="13"/>
    </row>
    <row r="90" spans="1:18" x14ac:dyDescent="0.25">
      <c r="A90" s="13">
        <v>8003879954</v>
      </c>
      <c r="B90" s="13">
        <v>3</v>
      </c>
      <c r="C90" s="13">
        <v>25092017</v>
      </c>
      <c r="D90" s="13">
        <v>415</v>
      </c>
      <c r="E90" s="13" t="s">
        <v>34</v>
      </c>
      <c r="F90" s="13">
        <v>72</v>
      </c>
      <c r="G90" s="13" t="s">
        <v>1096</v>
      </c>
      <c r="H90" s="14">
        <v>30</v>
      </c>
      <c r="I90" s="13" t="s">
        <v>28</v>
      </c>
      <c r="J90" s="14">
        <v>867968.96</v>
      </c>
      <c r="K90" s="13" t="s">
        <v>26</v>
      </c>
      <c r="L90" s="13">
        <v>163007</v>
      </c>
      <c r="M90" s="13" t="s">
        <v>1053</v>
      </c>
      <c r="N90" s="13"/>
      <c r="O90" s="13">
        <v>1</v>
      </c>
      <c r="P90" s="13"/>
      <c r="Q90" s="13"/>
      <c r="R90" s="13"/>
    </row>
    <row r="91" spans="1:18" x14ac:dyDescent="0.25">
      <c r="A91" s="13">
        <v>8003879954</v>
      </c>
      <c r="B91" s="13">
        <v>2</v>
      </c>
      <c r="C91" s="13">
        <v>25092017</v>
      </c>
      <c r="D91" s="13">
        <v>349</v>
      </c>
      <c r="E91" s="13" t="s">
        <v>35</v>
      </c>
      <c r="F91" s="13">
        <v>72</v>
      </c>
      <c r="G91" s="13" t="s">
        <v>1096</v>
      </c>
      <c r="H91" s="14">
        <v>36819.69</v>
      </c>
      <c r="I91" s="13" t="s">
        <v>28</v>
      </c>
      <c r="J91" s="14">
        <v>867998.96</v>
      </c>
      <c r="K91" s="13" t="s">
        <v>26</v>
      </c>
      <c r="L91" s="13">
        <v>163007</v>
      </c>
      <c r="M91" s="13" t="s">
        <v>1053</v>
      </c>
      <c r="N91" s="13"/>
      <c r="O91" s="13">
        <v>1</v>
      </c>
      <c r="P91" s="13"/>
      <c r="Q91" s="13"/>
      <c r="R91" s="13"/>
    </row>
    <row r="92" spans="1:18" hidden="1" x14ac:dyDescent="0.25">
      <c r="A92" s="13">
        <v>8003879954</v>
      </c>
      <c r="B92" s="13">
        <v>1</v>
      </c>
      <c r="C92" s="13">
        <v>25092017</v>
      </c>
      <c r="D92" s="13">
        <v>141</v>
      </c>
      <c r="E92" s="13" t="s">
        <v>36</v>
      </c>
      <c r="F92" s="13">
        <v>4797</v>
      </c>
      <c r="G92" s="13" t="s">
        <v>1097</v>
      </c>
      <c r="H92" s="14">
        <v>598.74</v>
      </c>
      <c r="I92" s="13" t="s">
        <v>26</v>
      </c>
      <c r="J92" s="14">
        <v>904818.65</v>
      </c>
      <c r="K92" s="13" t="s">
        <v>26</v>
      </c>
      <c r="L92" s="13">
        <v>161212</v>
      </c>
      <c r="M92" s="13" t="s">
        <v>53</v>
      </c>
      <c r="N92" s="13"/>
      <c r="O92" s="13">
        <v>1</v>
      </c>
      <c r="P92" s="13" t="s">
        <v>1054</v>
      </c>
      <c r="Q92" s="13" t="s">
        <v>1055</v>
      </c>
      <c r="R92" s="13" t="s">
        <v>1056</v>
      </c>
    </row>
    <row r="93" spans="1:18" hidden="1" x14ac:dyDescent="0.25">
      <c r="A93" s="13">
        <v>8003879954</v>
      </c>
      <c r="B93" s="13">
        <v>4</v>
      </c>
      <c r="C93" s="13">
        <v>21092017</v>
      </c>
      <c r="D93" s="13">
        <v>123</v>
      </c>
      <c r="E93" s="13" t="s">
        <v>38</v>
      </c>
      <c r="F93" s="13">
        <v>2007</v>
      </c>
      <c r="G93" s="13" t="s">
        <v>1098</v>
      </c>
      <c r="H93" s="14">
        <v>2000</v>
      </c>
      <c r="I93" s="13" t="s">
        <v>26</v>
      </c>
      <c r="J93" s="14">
        <v>904219.91</v>
      </c>
      <c r="K93" s="13" t="s">
        <v>26</v>
      </c>
      <c r="L93" s="13">
        <v>194428</v>
      </c>
      <c r="M93" s="13" t="s">
        <v>53</v>
      </c>
      <c r="N93" s="13"/>
      <c r="O93" s="13">
        <v>1</v>
      </c>
      <c r="P93" s="13"/>
      <c r="Q93" s="13"/>
      <c r="R93" s="13"/>
    </row>
    <row r="94" spans="1:18" x14ac:dyDescent="0.25">
      <c r="A94" s="13">
        <v>8003879954</v>
      </c>
      <c r="B94" s="13">
        <v>3</v>
      </c>
      <c r="C94" s="13">
        <v>21092017</v>
      </c>
      <c r="D94" s="13">
        <v>299</v>
      </c>
      <c r="E94" s="13" t="s">
        <v>44</v>
      </c>
      <c r="F94" s="13">
        <v>72</v>
      </c>
      <c r="G94" s="13" t="s">
        <v>1099</v>
      </c>
      <c r="H94" s="14">
        <v>1.8</v>
      </c>
      <c r="I94" s="13" t="s">
        <v>28</v>
      </c>
      <c r="J94" s="14">
        <v>902219.91</v>
      </c>
      <c r="K94" s="13" t="s">
        <v>26</v>
      </c>
      <c r="L94" s="13">
        <v>171758</v>
      </c>
      <c r="M94" s="13" t="s">
        <v>1057</v>
      </c>
      <c r="N94" s="13"/>
      <c r="O94" s="13">
        <v>1</v>
      </c>
      <c r="P94" s="13"/>
      <c r="Q94" s="13"/>
      <c r="R94" s="13"/>
    </row>
    <row r="95" spans="1:18" x14ac:dyDescent="0.25">
      <c r="A95" s="13">
        <v>8003879954</v>
      </c>
      <c r="B95" s="13">
        <v>2</v>
      </c>
      <c r="C95" s="13">
        <v>21092017</v>
      </c>
      <c r="D95" s="13">
        <v>415</v>
      </c>
      <c r="E95" s="13" t="s">
        <v>34</v>
      </c>
      <c r="F95" s="13">
        <v>72</v>
      </c>
      <c r="G95" s="13" t="s">
        <v>1099</v>
      </c>
      <c r="H95" s="14">
        <v>30</v>
      </c>
      <c r="I95" s="13" t="s">
        <v>28</v>
      </c>
      <c r="J95" s="14">
        <v>902221.71</v>
      </c>
      <c r="K95" s="13" t="s">
        <v>26</v>
      </c>
      <c r="L95" s="13">
        <v>171758</v>
      </c>
      <c r="M95" s="13" t="s">
        <v>1057</v>
      </c>
      <c r="N95" s="13"/>
      <c r="O95" s="13">
        <v>1</v>
      </c>
      <c r="P95" s="13"/>
      <c r="Q95" s="13"/>
      <c r="R95" s="13"/>
    </row>
    <row r="96" spans="1:18" x14ac:dyDescent="0.25">
      <c r="A96" s="13">
        <v>8003879954</v>
      </c>
      <c r="B96" s="13">
        <v>1</v>
      </c>
      <c r="C96" s="13">
        <v>21092017</v>
      </c>
      <c r="D96" s="13">
        <v>349</v>
      </c>
      <c r="E96" s="13" t="s">
        <v>35</v>
      </c>
      <c r="F96" s="13">
        <v>72</v>
      </c>
      <c r="G96" s="13" t="s">
        <v>1099</v>
      </c>
      <c r="H96" s="14">
        <v>2886.5</v>
      </c>
      <c r="I96" s="13" t="s">
        <v>28</v>
      </c>
      <c r="J96" s="14">
        <v>902251.71</v>
      </c>
      <c r="K96" s="13" t="s">
        <v>26</v>
      </c>
      <c r="L96" s="13">
        <v>171758</v>
      </c>
      <c r="M96" s="13" t="s">
        <v>1057</v>
      </c>
      <c r="N96" s="13"/>
      <c r="O96" s="13">
        <v>1</v>
      </c>
      <c r="P96" s="13"/>
      <c r="Q96" s="13"/>
      <c r="R96" s="13"/>
    </row>
    <row r="97" spans="1:18" s="11" customFormat="1" x14ac:dyDescent="0.25">
      <c r="A97" s="11">
        <v>8003879954</v>
      </c>
      <c r="B97" s="11">
        <v>4</v>
      </c>
      <c r="C97" s="11">
        <v>20092017</v>
      </c>
      <c r="D97" s="11">
        <v>299</v>
      </c>
      <c r="E97" s="11" t="s">
        <v>30</v>
      </c>
      <c r="H97" s="12">
        <v>0.03</v>
      </c>
      <c r="I97" s="11" t="s">
        <v>28</v>
      </c>
      <c r="J97" s="12">
        <v>905138.21</v>
      </c>
      <c r="K97" s="11" t="s">
        <v>26</v>
      </c>
      <c r="L97" s="11">
        <v>10019</v>
      </c>
      <c r="M97" s="11" t="s">
        <v>53</v>
      </c>
      <c r="O97" s="11">
        <v>1</v>
      </c>
    </row>
    <row r="98" spans="1:18" s="11" customFormat="1" x14ac:dyDescent="0.25">
      <c r="A98" s="11">
        <v>8003879954</v>
      </c>
      <c r="B98" s="11">
        <v>3</v>
      </c>
      <c r="C98" s="11">
        <v>20092017</v>
      </c>
      <c r="D98" s="11">
        <v>819</v>
      </c>
      <c r="E98" s="11" t="s">
        <v>32</v>
      </c>
      <c r="H98" s="12">
        <v>0.5</v>
      </c>
      <c r="I98" s="11" t="s">
        <v>28</v>
      </c>
      <c r="J98" s="12">
        <v>905138.24</v>
      </c>
      <c r="K98" s="11" t="s">
        <v>26</v>
      </c>
      <c r="L98" s="11">
        <v>10019</v>
      </c>
      <c r="M98" s="11" t="s">
        <v>53</v>
      </c>
      <c r="O98" s="11">
        <v>1</v>
      </c>
    </row>
    <row r="99" spans="1:18" s="11" customFormat="1" x14ac:dyDescent="0.25">
      <c r="A99" s="11">
        <v>8003879954</v>
      </c>
      <c r="B99" s="11">
        <v>2</v>
      </c>
      <c r="C99" s="11">
        <v>20092017</v>
      </c>
      <c r="D99" s="11">
        <v>321</v>
      </c>
      <c r="E99" s="11" t="s">
        <v>37</v>
      </c>
      <c r="F99" s="11">
        <v>0</v>
      </c>
      <c r="G99" s="11" t="s">
        <v>843</v>
      </c>
      <c r="H99" s="12">
        <v>6482.7</v>
      </c>
      <c r="I99" s="11" t="s">
        <v>28</v>
      </c>
      <c r="J99" s="12">
        <v>905138.74</v>
      </c>
      <c r="K99" s="11" t="s">
        <v>26</v>
      </c>
      <c r="L99" s="11">
        <v>5908</v>
      </c>
      <c r="M99" s="11" t="s">
        <v>53</v>
      </c>
      <c r="O99" s="11">
        <v>1</v>
      </c>
    </row>
    <row r="100" spans="1:18" s="11" customFormat="1" hidden="1" x14ac:dyDescent="0.25">
      <c r="A100" s="11">
        <v>8003879954</v>
      </c>
      <c r="B100" s="11">
        <v>1</v>
      </c>
      <c r="C100" s="11">
        <v>20092017</v>
      </c>
      <c r="D100" s="11">
        <v>5</v>
      </c>
      <c r="E100" s="11" t="s">
        <v>42</v>
      </c>
      <c r="H100" s="12">
        <v>500000</v>
      </c>
      <c r="I100" s="11" t="s">
        <v>26</v>
      </c>
      <c r="J100" s="12">
        <v>911621.44</v>
      </c>
      <c r="K100" s="11" t="s">
        <v>26</v>
      </c>
      <c r="L100" s="11">
        <v>91128</v>
      </c>
      <c r="M100" s="11" t="s">
        <v>844</v>
      </c>
      <c r="O100" s="11">
        <v>1</v>
      </c>
      <c r="P100" s="11" t="s">
        <v>845</v>
      </c>
      <c r="Q100" s="11" t="s">
        <v>846</v>
      </c>
      <c r="R100" s="11" t="s">
        <v>847</v>
      </c>
    </row>
    <row r="101" spans="1:18" s="11" customFormat="1" hidden="1" x14ac:dyDescent="0.25">
      <c r="A101" s="11">
        <v>8003879954</v>
      </c>
      <c r="B101" s="11">
        <v>1</v>
      </c>
      <c r="C101" s="11">
        <v>19092017</v>
      </c>
      <c r="D101" s="11">
        <v>123</v>
      </c>
      <c r="E101" s="11" t="s">
        <v>38</v>
      </c>
      <c r="F101" s="11">
        <v>2007</v>
      </c>
      <c r="G101" s="11" t="s">
        <v>848</v>
      </c>
      <c r="H101" s="12">
        <v>3000</v>
      </c>
      <c r="I101" s="11" t="s">
        <v>26</v>
      </c>
      <c r="J101" s="12">
        <v>411621.44</v>
      </c>
      <c r="K101" s="11" t="s">
        <v>26</v>
      </c>
      <c r="L101" s="11">
        <v>190311</v>
      </c>
      <c r="M101" s="11" t="s">
        <v>53</v>
      </c>
      <c r="O101" s="11">
        <v>1</v>
      </c>
    </row>
    <row r="102" spans="1:18" s="11" customFormat="1" x14ac:dyDescent="0.25">
      <c r="A102" s="11">
        <v>8003879954</v>
      </c>
      <c r="B102" s="11">
        <v>6</v>
      </c>
      <c r="C102" s="11">
        <v>15092017</v>
      </c>
      <c r="D102" s="11">
        <v>299</v>
      </c>
      <c r="E102" s="11" t="s">
        <v>44</v>
      </c>
      <c r="F102" s="11">
        <v>72</v>
      </c>
      <c r="G102" s="11" t="s">
        <v>849</v>
      </c>
      <c r="H102" s="12">
        <v>0.6</v>
      </c>
      <c r="I102" s="11" t="s">
        <v>28</v>
      </c>
      <c r="J102" s="12">
        <v>408621.44</v>
      </c>
      <c r="K102" s="11" t="s">
        <v>26</v>
      </c>
      <c r="L102" s="11">
        <v>172248</v>
      </c>
      <c r="M102" s="11" t="s">
        <v>850</v>
      </c>
      <c r="O102" s="11">
        <v>1</v>
      </c>
    </row>
    <row r="103" spans="1:18" s="11" customFormat="1" x14ac:dyDescent="0.25">
      <c r="A103" s="11">
        <v>8003879954</v>
      </c>
      <c r="B103" s="11">
        <v>5</v>
      </c>
      <c r="C103" s="11">
        <v>15092017</v>
      </c>
      <c r="D103" s="11">
        <v>415</v>
      </c>
      <c r="E103" s="11" t="s">
        <v>34</v>
      </c>
      <c r="F103" s="11">
        <v>72</v>
      </c>
      <c r="G103" s="11" t="s">
        <v>849</v>
      </c>
      <c r="H103" s="12">
        <v>10</v>
      </c>
      <c r="I103" s="11" t="s">
        <v>28</v>
      </c>
      <c r="J103" s="12">
        <v>408622.04</v>
      </c>
      <c r="K103" s="11" t="s">
        <v>26</v>
      </c>
      <c r="L103" s="11">
        <v>172248</v>
      </c>
      <c r="M103" s="11" t="s">
        <v>850</v>
      </c>
      <c r="O103" s="11">
        <v>1</v>
      </c>
    </row>
    <row r="104" spans="1:18" x14ac:dyDescent="0.25">
      <c r="A104" s="9">
        <v>8003879954</v>
      </c>
      <c r="B104" s="9">
        <v>4</v>
      </c>
      <c r="C104" s="9">
        <v>15092017</v>
      </c>
      <c r="D104" s="9">
        <v>349</v>
      </c>
      <c r="E104" s="9" t="s">
        <v>35</v>
      </c>
      <c r="F104" s="9">
        <v>72</v>
      </c>
      <c r="G104" s="9" t="s">
        <v>849</v>
      </c>
      <c r="H104" s="10">
        <v>1058</v>
      </c>
      <c r="I104" s="9" t="s">
        <v>28</v>
      </c>
      <c r="J104" s="10">
        <v>408632.04</v>
      </c>
      <c r="K104" s="9" t="s">
        <v>26</v>
      </c>
      <c r="L104" s="9">
        <v>172248</v>
      </c>
      <c r="M104" s="9" t="s">
        <v>850</v>
      </c>
      <c r="O104" s="9">
        <v>1</v>
      </c>
    </row>
    <row r="105" spans="1:18" hidden="1" x14ac:dyDescent="0.25">
      <c r="A105" s="9">
        <v>8003879954</v>
      </c>
      <c r="B105" s="9">
        <v>3</v>
      </c>
      <c r="C105" s="9">
        <v>15092017</v>
      </c>
      <c r="D105" s="9">
        <v>141</v>
      </c>
      <c r="E105" s="9" t="s">
        <v>48</v>
      </c>
      <c r="F105" s="9">
        <v>2001</v>
      </c>
      <c r="G105" s="9" t="s">
        <v>851</v>
      </c>
      <c r="H105" s="10">
        <v>3000</v>
      </c>
      <c r="I105" s="9" t="s">
        <v>26</v>
      </c>
      <c r="J105" s="10">
        <v>409690.04</v>
      </c>
      <c r="K105" s="9" t="s">
        <v>26</v>
      </c>
      <c r="L105" s="9">
        <v>165233</v>
      </c>
      <c r="M105" s="9" t="s">
        <v>852</v>
      </c>
      <c r="O105" s="9">
        <v>1</v>
      </c>
      <c r="P105" s="9" t="s">
        <v>852</v>
      </c>
      <c r="Q105" s="9" t="s">
        <v>794</v>
      </c>
      <c r="R105" s="9" t="s">
        <v>853</v>
      </c>
    </row>
    <row r="106" spans="1:18" x14ac:dyDescent="0.25">
      <c r="A106" s="9">
        <v>8003879954</v>
      </c>
      <c r="B106" s="9">
        <v>2</v>
      </c>
      <c r="C106" s="9">
        <v>15092017</v>
      </c>
      <c r="D106" s="9">
        <v>349</v>
      </c>
      <c r="E106" s="9" t="s">
        <v>35</v>
      </c>
      <c r="F106" s="9">
        <v>72</v>
      </c>
      <c r="G106" s="9" t="s">
        <v>854</v>
      </c>
      <c r="H106" s="10">
        <v>85502.8</v>
      </c>
      <c r="I106" s="9" t="s">
        <v>28</v>
      </c>
      <c r="J106" s="10">
        <v>406690.04</v>
      </c>
      <c r="K106" s="9" t="s">
        <v>26</v>
      </c>
      <c r="L106" s="9">
        <v>161239</v>
      </c>
      <c r="M106" s="9" t="s">
        <v>855</v>
      </c>
      <c r="O106" s="9">
        <v>1</v>
      </c>
    </row>
    <row r="107" spans="1:18" hidden="1" x14ac:dyDescent="0.25">
      <c r="A107" s="9">
        <v>8003879954</v>
      </c>
      <c r="B107" s="9">
        <v>1</v>
      </c>
      <c r="C107" s="9">
        <v>15092017</v>
      </c>
      <c r="D107" s="9">
        <v>5</v>
      </c>
      <c r="E107" s="9" t="s">
        <v>42</v>
      </c>
      <c r="H107" s="10">
        <v>300000</v>
      </c>
      <c r="I107" s="9" t="s">
        <v>26</v>
      </c>
      <c r="J107" s="10">
        <v>492192.84</v>
      </c>
      <c r="K107" s="9" t="s">
        <v>26</v>
      </c>
      <c r="L107" s="9">
        <v>91125</v>
      </c>
      <c r="M107" s="9" t="s">
        <v>844</v>
      </c>
      <c r="O107" s="9">
        <v>1</v>
      </c>
      <c r="P107" s="9" t="s">
        <v>845</v>
      </c>
      <c r="Q107" s="9" t="s">
        <v>846</v>
      </c>
      <c r="R107" s="9" t="s">
        <v>847</v>
      </c>
    </row>
    <row r="108" spans="1:18" hidden="1" x14ac:dyDescent="0.25">
      <c r="A108" s="9">
        <v>8003879954</v>
      </c>
      <c r="B108" s="9">
        <v>2</v>
      </c>
      <c r="C108" s="9">
        <v>14092017</v>
      </c>
      <c r="D108" s="9">
        <v>5</v>
      </c>
      <c r="E108" s="9" t="s">
        <v>42</v>
      </c>
      <c r="H108" s="10">
        <v>120000</v>
      </c>
      <c r="I108" s="9" t="s">
        <v>26</v>
      </c>
      <c r="J108" s="10">
        <v>192192.84</v>
      </c>
      <c r="K108" s="9" t="s">
        <v>26</v>
      </c>
      <c r="L108" s="9">
        <v>154822</v>
      </c>
      <c r="M108" s="9" t="s">
        <v>856</v>
      </c>
      <c r="O108" s="9">
        <v>1</v>
      </c>
      <c r="P108" s="9" t="s">
        <v>857</v>
      </c>
      <c r="Q108" s="9" t="s">
        <v>59</v>
      </c>
      <c r="R108" s="9" t="s">
        <v>60</v>
      </c>
    </row>
    <row r="109" spans="1:18" hidden="1" x14ac:dyDescent="0.25">
      <c r="A109" s="9">
        <v>8003879954</v>
      </c>
      <c r="B109" s="9">
        <v>1</v>
      </c>
      <c r="C109" s="9">
        <v>14092017</v>
      </c>
      <c r="D109" s="9">
        <v>149</v>
      </c>
      <c r="E109" s="9" t="s">
        <v>42</v>
      </c>
      <c r="F109" s="9">
        <v>982</v>
      </c>
      <c r="G109" s="9" t="s">
        <v>858</v>
      </c>
      <c r="H109" s="10">
        <v>4906.3500000000004</v>
      </c>
      <c r="I109" s="9" t="s">
        <v>26</v>
      </c>
      <c r="J109" s="10">
        <v>72192.84</v>
      </c>
      <c r="K109" s="9" t="s">
        <v>26</v>
      </c>
      <c r="L109" s="9">
        <v>145607</v>
      </c>
      <c r="M109" s="9" t="s">
        <v>859</v>
      </c>
      <c r="O109" s="9">
        <v>1</v>
      </c>
    </row>
    <row r="110" spans="1:18" x14ac:dyDescent="0.25">
      <c r="A110" s="9">
        <v>8003879954</v>
      </c>
      <c r="B110" s="9">
        <v>52</v>
      </c>
      <c r="C110" s="9">
        <v>13092017</v>
      </c>
      <c r="D110" s="9">
        <v>299</v>
      </c>
      <c r="E110" s="9" t="s">
        <v>30</v>
      </c>
      <c r="H110" s="10">
        <v>0.03</v>
      </c>
      <c r="I110" s="9" t="s">
        <v>28</v>
      </c>
      <c r="J110" s="10">
        <v>67286.490000000005</v>
      </c>
      <c r="K110" s="9" t="s">
        <v>26</v>
      </c>
      <c r="L110" s="9">
        <v>5445</v>
      </c>
      <c r="M110" s="9" t="s">
        <v>53</v>
      </c>
      <c r="O110" s="9">
        <v>1</v>
      </c>
    </row>
    <row r="111" spans="1:18" x14ac:dyDescent="0.25">
      <c r="A111" s="9">
        <v>8003879954</v>
      </c>
      <c r="B111" s="9">
        <v>51</v>
      </c>
      <c r="C111" s="9">
        <v>13092017</v>
      </c>
      <c r="D111" s="9">
        <v>819</v>
      </c>
      <c r="E111" s="9" t="s">
        <v>32</v>
      </c>
      <c r="H111" s="10">
        <v>0.5</v>
      </c>
      <c r="I111" s="9" t="s">
        <v>28</v>
      </c>
      <c r="J111" s="10">
        <v>67286.52</v>
      </c>
      <c r="K111" s="9" t="s">
        <v>26</v>
      </c>
      <c r="L111" s="9">
        <v>5445</v>
      </c>
      <c r="M111" s="9" t="s">
        <v>53</v>
      </c>
      <c r="O111" s="9">
        <v>1</v>
      </c>
    </row>
    <row r="112" spans="1:18" x14ac:dyDescent="0.25">
      <c r="A112" s="9">
        <v>8003879954</v>
      </c>
      <c r="B112" s="9">
        <v>50</v>
      </c>
      <c r="C112" s="9">
        <v>13092017</v>
      </c>
      <c r="D112" s="9">
        <v>323</v>
      </c>
      <c r="E112" s="9" t="s">
        <v>33</v>
      </c>
      <c r="F112" s="9">
        <v>0</v>
      </c>
      <c r="G112" s="9" t="s">
        <v>860</v>
      </c>
      <c r="H112" s="10">
        <v>21133</v>
      </c>
      <c r="I112" s="9" t="s">
        <v>28</v>
      </c>
      <c r="J112" s="10">
        <v>67287.02</v>
      </c>
      <c r="K112" s="9" t="s">
        <v>26</v>
      </c>
      <c r="L112" s="9">
        <v>5259</v>
      </c>
      <c r="M112" s="9" t="s">
        <v>53</v>
      </c>
      <c r="O112" s="9">
        <v>1</v>
      </c>
    </row>
    <row r="113" spans="1:17" x14ac:dyDescent="0.25">
      <c r="A113" s="9">
        <v>8003879954</v>
      </c>
      <c r="B113" s="9">
        <v>49</v>
      </c>
      <c r="C113" s="9">
        <v>13092017</v>
      </c>
      <c r="D113" s="9">
        <v>341</v>
      </c>
      <c r="E113" s="9" t="s">
        <v>29</v>
      </c>
      <c r="F113" s="9">
        <v>9938</v>
      </c>
      <c r="G113" s="9" t="s">
        <v>861</v>
      </c>
      <c r="H113" s="10">
        <v>207.8</v>
      </c>
      <c r="I113" s="9" t="s">
        <v>28</v>
      </c>
      <c r="J113" s="10">
        <v>88420.02</v>
      </c>
      <c r="K113" s="9" t="s">
        <v>26</v>
      </c>
      <c r="L113" s="9">
        <v>184530</v>
      </c>
      <c r="M113" s="9" t="s">
        <v>695</v>
      </c>
      <c r="O113" s="9">
        <v>1</v>
      </c>
      <c r="P113" s="9" t="s">
        <v>862</v>
      </c>
      <c r="Q113" s="9" t="s">
        <v>697</v>
      </c>
    </row>
    <row r="114" spans="1:17" x14ac:dyDescent="0.25">
      <c r="A114" s="9">
        <v>8003879954</v>
      </c>
      <c r="B114" s="9">
        <v>48</v>
      </c>
      <c r="C114" s="9">
        <v>13092017</v>
      </c>
      <c r="D114" s="9">
        <v>299</v>
      </c>
      <c r="E114" s="9" t="s">
        <v>30</v>
      </c>
      <c r="F114" s="9">
        <v>9938</v>
      </c>
      <c r="G114" s="9" t="s">
        <v>861</v>
      </c>
      <c r="H114" s="10">
        <v>0.01</v>
      </c>
      <c r="I114" s="9" t="s">
        <v>28</v>
      </c>
      <c r="J114" s="10">
        <v>88627.82</v>
      </c>
      <c r="K114" s="9" t="s">
        <v>26</v>
      </c>
      <c r="L114" s="9">
        <v>184530</v>
      </c>
      <c r="M114" s="9" t="s">
        <v>863</v>
      </c>
      <c r="O114" s="9">
        <v>1</v>
      </c>
    </row>
    <row r="115" spans="1:17" x14ac:dyDescent="0.25">
      <c r="A115" s="9">
        <v>8003879954</v>
      </c>
      <c r="B115" s="9">
        <v>47</v>
      </c>
      <c r="C115" s="9">
        <v>13092017</v>
      </c>
      <c r="D115" s="9">
        <v>489</v>
      </c>
      <c r="E115" s="9" t="s">
        <v>31</v>
      </c>
      <c r="F115" s="9">
        <v>9938</v>
      </c>
      <c r="G115" s="9" t="s">
        <v>861</v>
      </c>
      <c r="H115" s="10">
        <v>0.1</v>
      </c>
      <c r="I115" s="9" t="s">
        <v>28</v>
      </c>
      <c r="J115" s="10">
        <v>88627.83</v>
      </c>
      <c r="K115" s="9" t="s">
        <v>26</v>
      </c>
      <c r="L115" s="9">
        <v>184530</v>
      </c>
      <c r="M115" s="9" t="s">
        <v>863</v>
      </c>
      <c r="O115" s="9">
        <v>1</v>
      </c>
    </row>
    <row r="116" spans="1:17" x14ac:dyDescent="0.25">
      <c r="A116" s="9">
        <v>8003879954</v>
      </c>
      <c r="B116" s="9">
        <v>46</v>
      </c>
      <c r="C116" s="9">
        <v>13092017</v>
      </c>
      <c r="D116" s="9">
        <v>343</v>
      </c>
      <c r="E116" s="9" t="s">
        <v>49</v>
      </c>
      <c r="F116" s="9">
        <v>9938</v>
      </c>
      <c r="G116" s="9" t="s">
        <v>864</v>
      </c>
      <c r="H116" s="10">
        <v>11.75</v>
      </c>
      <c r="I116" s="9" t="s">
        <v>28</v>
      </c>
      <c r="J116" s="10">
        <v>88627.93</v>
      </c>
      <c r="K116" s="9" t="s">
        <v>26</v>
      </c>
      <c r="L116" s="9">
        <v>184529</v>
      </c>
      <c r="M116" s="9" t="s">
        <v>150</v>
      </c>
      <c r="O116" s="9">
        <v>1</v>
      </c>
    </row>
    <row r="117" spans="1:17" x14ac:dyDescent="0.25">
      <c r="A117" s="9">
        <v>8003879954</v>
      </c>
      <c r="B117" s="9">
        <v>45</v>
      </c>
      <c r="C117" s="9">
        <v>13092017</v>
      </c>
      <c r="D117" s="9">
        <v>341</v>
      </c>
      <c r="E117" s="9" t="s">
        <v>29</v>
      </c>
      <c r="F117" s="9">
        <v>9938</v>
      </c>
      <c r="G117" s="9" t="s">
        <v>865</v>
      </c>
      <c r="H117" s="10">
        <v>93.35</v>
      </c>
      <c r="I117" s="9" t="s">
        <v>28</v>
      </c>
      <c r="J117" s="10">
        <v>88639.679999999993</v>
      </c>
      <c r="K117" s="9" t="s">
        <v>26</v>
      </c>
      <c r="L117" s="9">
        <v>184529</v>
      </c>
      <c r="M117" s="9" t="s">
        <v>866</v>
      </c>
      <c r="O117" s="9">
        <v>1</v>
      </c>
      <c r="P117" s="9" t="s">
        <v>867</v>
      </c>
      <c r="Q117" s="9" t="s">
        <v>868</v>
      </c>
    </row>
    <row r="118" spans="1:17" x14ac:dyDescent="0.25">
      <c r="A118" s="9">
        <v>8003879954</v>
      </c>
      <c r="B118" s="9">
        <v>44</v>
      </c>
      <c r="C118" s="9">
        <v>13092017</v>
      </c>
      <c r="D118" s="9">
        <v>299</v>
      </c>
      <c r="E118" s="9" t="s">
        <v>30</v>
      </c>
      <c r="F118" s="9">
        <v>9938</v>
      </c>
      <c r="G118" s="9" t="s">
        <v>865</v>
      </c>
      <c r="H118" s="10">
        <v>0.01</v>
      </c>
      <c r="I118" s="9" t="s">
        <v>28</v>
      </c>
      <c r="J118" s="10">
        <v>88733.03</v>
      </c>
      <c r="K118" s="9" t="s">
        <v>26</v>
      </c>
      <c r="L118" s="9">
        <v>184529</v>
      </c>
      <c r="M118" s="9" t="s">
        <v>869</v>
      </c>
      <c r="O118" s="9">
        <v>1</v>
      </c>
    </row>
    <row r="119" spans="1:17" x14ac:dyDescent="0.25">
      <c r="A119" s="9">
        <v>8003879954</v>
      </c>
      <c r="B119" s="9">
        <v>43</v>
      </c>
      <c r="C119" s="9">
        <v>13092017</v>
      </c>
      <c r="D119" s="9">
        <v>489</v>
      </c>
      <c r="E119" s="9" t="s">
        <v>31</v>
      </c>
      <c r="F119" s="9">
        <v>9938</v>
      </c>
      <c r="G119" s="9" t="s">
        <v>865</v>
      </c>
      <c r="H119" s="10">
        <v>0.1</v>
      </c>
      <c r="I119" s="9" t="s">
        <v>28</v>
      </c>
      <c r="J119" s="10">
        <v>88733.04</v>
      </c>
      <c r="K119" s="9" t="s">
        <v>26</v>
      </c>
      <c r="L119" s="9">
        <v>184529</v>
      </c>
      <c r="M119" s="9" t="s">
        <v>869</v>
      </c>
      <c r="O119" s="9">
        <v>1</v>
      </c>
    </row>
    <row r="120" spans="1:17" x14ac:dyDescent="0.25">
      <c r="A120" s="9">
        <v>8003879954</v>
      </c>
      <c r="B120" s="9">
        <v>42</v>
      </c>
      <c r="C120" s="9">
        <v>13092017</v>
      </c>
      <c r="D120" s="9">
        <v>343</v>
      </c>
      <c r="E120" s="9" t="s">
        <v>49</v>
      </c>
      <c r="F120" s="9">
        <v>9938</v>
      </c>
      <c r="G120" s="9" t="s">
        <v>870</v>
      </c>
      <c r="H120" s="10">
        <v>27.55</v>
      </c>
      <c r="I120" s="9" t="s">
        <v>28</v>
      </c>
      <c r="J120" s="10">
        <v>88733.14</v>
      </c>
      <c r="K120" s="9" t="s">
        <v>26</v>
      </c>
      <c r="L120" s="9">
        <v>184528</v>
      </c>
      <c r="M120" s="9" t="s">
        <v>408</v>
      </c>
      <c r="O120" s="9">
        <v>1</v>
      </c>
    </row>
    <row r="121" spans="1:17" x14ac:dyDescent="0.25">
      <c r="A121" s="9">
        <v>8003879954</v>
      </c>
      <c r="B121" s="9">
        <v>41</v>
      </c>
      <c r="C121" s="9">
        <v>13092017</v>
      </c>
      <c r="D121" s="9">
        <v>60</v>
      </c>
      <c r="E121" s="9" t="s">
        <v>43</v>
      </c>
      <c r="F121" s="9">
        <v>9938</v>
      </c>
      <c r="G121" s="9" t="s">
        <v>871</v>
      </c>
      <c r="H121" s="10">
        <v>201.4</v>
      </c>
      <c r="I121" s="9" t="s">
        <v>28</v>
      </c>
      <c r="J121" s="10">
        <v>88760.69</v>
      </c>
      <c r="K121" s="9" t="s">
        <v>26</v>
      </c>
      <c r="L121" s="9">
        <v>184332</v>
      </c>
      <c r="M121" s="9" t="s">
        <v>872</v>
      </c>
      <c r="O121" s="9">
        <v>1</v>
      </c>
      <c r="P121" s="9" t="s">
        <v>873</v>
      </c>
      <c r="Q121" s="9" t="s">
        <v>874</v>
      </c>
    </row>
    <row r="122" spans="1:17" x14ac:dyDescent="0.25">
      <c r="A122" s="9">
        <v>8003879954</v>
      </c>
      <c r="B122" s="9">
        <v>40</v>
      </c>
      <c r="C122" s="9">
        <v>13092017</v>
      </c>
      <c r="D122" s="9">
        <v>341</v>
      </c>
      <c r="E122" s="9" t="s">
        <v>29</v>
      </c>
      <c r="F122" s="9">
        <v>9938</v>
      </c>
      <c r="G122" s="9" t="s">
        <v>875</v>
      </c>
      <c r="H122" s="10">
        <v>1270.94</v>
      </c>
      <c r="I122" s="9" t="s">
        <v>28</v>
      </c>
      <c r="J122" s="10">
        <v>88962.09</v>
      </c>
      <c r="K122" s="9" t="s">
        <v>26</v>
      </c>
      <c r="L122" s="9">
        <v>184332</v>
      </c>
      <c r="M122" s="9" t="s">
        <v>550</v>
      </c>
      <c r="O122" s="9">
        <v>1</v>
      </c>
      <c r="P122" s="9" t="s">
        <v>824</v>
      </c>
      <c r="Q122" s="9" t="s">
        <v>876</v>
      </c>
    </row>
    <row r="123" spans="1:17" x14ac:dyDescent="0.25">
      <c r="A123" s="9">
        <v>8003879954</v>
      </c>
      <c r="B123" s="9">
        <v>39</v>
      </c>
      <c r="C123" s="9">
        <v>13092017</v>
      </c>
      <c r="D123" s="9">
        <v>299</v>
      </c>
      <c r="E123" s="9" t="s">
        <v>30</v>
      </c>
      <c r="F123" s="9">
        <v>9938</v>
      </c>
      <c r="G123" s="9" t="s">
        <v>875</v>
      </c>
      <c r="H123" s="10">
        <v>0.01</v>
      </c>
      <c r="I123" s="9" t="s">
        <v>28</v>
      </c>
      <c r="J123" s="10">
        <v>90233.03</v>
      </c>
      <c r="K123" s="9" t="s">
        <v>26</v>
      </c>
      <c r="L123" s="9">
        <v>184332</v>
      </c>
      <c r="M123" s="9" t="s">
        <v>877</v>
      </c>
      <c r="O123" s="9">
        <v>1</v>
      </c>
    </row>
    <row r="124" spans="1:17" x14ac:dyDescent="0.25">
      <c r="A124" s="9">
        <v>8003879954</v>
      </c>
      <c r="B124" s="9">
        <v>38</v>
      </c>
      <c r="C124" s="9">
        <v>13092017</v>
      </c>
      <c r="D124" s="9">
        <v>489</v>
      </c>
      <c r="E124" s="9" t="s">
        <v>31</v>
      </c>
      <c r="F124" s="9">
        <v>9938</v>
      </c>
      <c r="G124" s="9" t="s">
        <v>875</v>
      </c>
      <c r="H124" s="10">
        <v>0.1</v>
      </c>
      <c r="I124" s="9" t="s">
        <v>28</v>
      </c>
      <c r="J124" s="10">
        <v>90233.04</v>
      </c>
      <c r="K124" s="9" t="s">
        <v>26</v>
      </c>
      <c r="L124" s="9">
        <v>184332</v>
      </c>
      <c r="M124" s="9" t="s">
        <v>877</v>
      </c>
      <c r="O124" s="9">
        <v>1</v>
      </c>
    </row>
    <row r="125" spans="1:17" x14ac:dyDescent="0.25">
      <c r="A125" s="9">
        <v>8003879954</v>
      </c>
      <c r="B125" s="9">
        <v>37</v>
      </c>
      <c r="C125" s="9">
        <v>13092017</v>
      </c>
      <c r="D125" s="9">
        <v>341</v>
      </c>
      <c r="E125" s="9" t="s">
        <v>29</v>
      </c>
      <c r="F125" s="9">
        <v>9938</v>
      </c>
      <c r="G125" s="9" t="s">
        <v>878</v>
      </c>
      <c r="H125" s="10">
        <v>677</v>
      </c>
      <c r="I125" s="9" t="s">
        <v>28</v>
      </c>
      <c r="J125" s="10">
        <v>90233.14</v>
      </c>
      <c r="K125" s="9" t="s">
        <v>26</v>
      </c>
      <c r="L125" s="9">
        <v>184332</v>
      </c>
      <c r="M125" s="9" t="s">
        <v>225</v>
      </c>
      <c r="O125" s="9">
        <v>1</v>
      </c>
      <c r="P125" s="9" t="s">
        <v>879</v>
      </c>
      <c r="Q125" s="9" t="s">
        <v>880</v>
      </c>
    </row>
    <row r="126" spans="1:17" x14ac:dyDescent="0.25">
      <c r="A126" s="9">
        <v>8003879954</v>
      </c>
      <c r="B126" s="9">
        <v>36</v>
      </c>
      <c r="C126" s="9">
        <v>13092017</v>
      </c>
      <c r="D126" s="9">
        <v>299</v>
      </c>
      <c r="E126" s="9" t="s">
        <v>30</v>
      </c>
      <c r="F126" s="9">
        <v>9938</v>
      </c>
      <c r="G126" s="9" t="s">
        <v>878</v>
      </c>
      <c r="H126" s="10">
        <v>0.01</v>
      </c>
      <c r="I126" s="9" t="s">
        <v>28</v>
      </c>
      <c r="J126" s="10">
        <v>90910.14</v>
      </c>
      <c r="K126" s="9" t="s">
        <v>26</v>
      </c>
      <c r="L126" s="9">
        <v>184332</v>
      </c>
      <c r="M126" s="9" t="s">
        <v>881</v>
      </c>
      <c r="O126" s="9">
        <v>1</v>
      </c>
    </row>
    <row r="127" spans="1:17" x14ac:dyDescent="0.25">
      <c r="A127" s="9">
        <v>8003879954</v>
      </c>
      <c r="B127" s="9">
        <v>35</v>
      </c>
      <c r="C127" s="9">
        <v>13092017</v>
      </c>
      <c r="D127" s="9">
        <v>489</v>
      </c>
      <c r="E127" s="9" t="s">
        <v>31</v>
      </c>
      <c r="F127" s="9">
        <v>9938</v>
      </c>
      <c r="G127" s="9" t="s">
        <v>878</v>
      </c>
      <c r="H127" s="10">
        <v>0.1</v>
      </c>
      <c r="I127" s="9" t="s">
        <v>28</v>
      </c>
      <c r="J127" s="10">
        <v>90910.15</v>
      </c>
      <c r="K127" s="9" t="s">
        <v>26</v>
      </c>
      <c r="L127" s="9">
        <v>184332</v>
      </c>
      <c r="M127" s="9" t="s">
        <v>881</v>
      </c>
      <c r="O127" s="9">
        <v>1</v>
      </c>
    </row>
    <row r="128" spans="1:17" x14ac:dyDescent="0.25">
      <c r="A128" s="9">
        <v>8003879954</v>
      </c>
      <c r="B128" s="9">
        <v>34</v>
      </c>
      <c r="C128" s="9">
        <v>13092017</v>
      </c>
      <c r="D128" s="9">
        <v>341</v>
      </c>
      <c r="E128" s="9" t="s">
        <v>29</v>
      </c>
      <c r="F128" s="9">
        <v>9938</v>
      </c>
      <c r="G128" s="9" t="s">
        <v>882</v>
      </c>
      <c r="H128" s="10">
        <v>1443.72</v>
      </c>
      <c r="I128" s="9" t="s">
        <v>28</v>
      </c>
      <c r="J128" s="10">
        <v>90910.25</v>
      </c>
      <c r="K128" s="9" t="s">
        <v>26</v>
      </c>
      <c r="L128" s="9">
        <v>184332</v>
      </c>
      <c r="M128" s="9" t="s">
        <v>883</v>
      </c>
      <c r="O128" s="9">
        <v>1</v>
      </c>
      <c r="P128" s="9" t="s">
        <v>884</v>
      </c>
      <c r="Q128" s="9" t="s">
        <v>885</v>
      </c>
    </row>
    <row r="129" spans="1:17" x14ac:dyDescent="0.25">
      <c r="A129" s="9">
        <v>8003879954</v>
      </c>
      <c r="B129" s="9">
        <v>33</v>
      </c>
      <c r="C129" s="9">
        <v>13092017</v>
      </c>
      <c r="D129" s="9">
        <v>299</v>
      </c>
      <c r="E129" s="9" t="s">
        <v>30</v>
      </c>
      <c r="F129" s="9">
        <v>9938</v>
      </c>
      <c r="G129" s="9" t="s">
        <v>882</v>
      </c>
      <c r="H129" s="10">
        <v>0.01</v>
      </c>
      <c r="I129" s="9" t="s">
        <v>28</v>
      </c>
      <c r="J129" s="10">
        <v>92353.97</v>
      </c>
      <c r="K129" s="9" t="s">
        <v>26</v>
      </c>
      <c r="L129" s="9">
        <v>184332</v>
      </c>
      <c r="M129" s="9" t="s">
        <v>886</v>
      </c>
      <c r="O129" s="9">
        <v>1</v>
      </c>
    </row>
    <row r="130" spans="1:17" x14ac:dyDescent="0.25">
      <c r="A130" s="9">
        <v>8003879954</v>
      </c>
      <c r="B130" s="9">
        <v>32</v>
      </c>
      <c r="C130" s="9">
        <v>13092017</v>
      </c>
      <c r="D130" s="9">
        <v>489</v>
      </c>
      <c r="E130" s="9" t="s">
        <v>31</v>
      </c>
      <c r="F130" s="9">
        <v>9938</v>
      </c>
      <c r="G130" s="9" t="s">
        <v>882</v>
      </c>
      <c r="H130" s="10">
        <v>0.1</v>
      </c>
      <c r="I130" s="9" t="s">
        <v>28</v>
      </c>
      <c r="J130" s="10">
        <v>92353.98</v>
      </c>
      <c r="K130" s="9" t="s">
        <v>26</v>
      </c>
      <c r="L130" s="9">
        <v>184332</v>
      </c>
      <c r="M130" s="9" t="s">
        <v>886</v>
      </c>
      <c r="O130" s="9">
        <v>1</v>
      </c>
    </row>
    <row r="131" spans="1:17" x14ac:dyDescent="0.25">
      <c r="A131" s="9">
        <v>8003879954</v>
      </c>
      <c r="B131" s="9">
        <v>31</v>
      </c>
      <c r="C131" s="9">
        <v>13092017</v>
      </c>
      <c r="D131" s="9">
        <v>343</v>
      </c>
      <c r="E131" s="9" t="s">
        <v>49</v>
      </c>
      <c r="F131" s="9">
        <v>9938</v>
      </c>
      <c r="G131" s="9" t="s">
        <v>887</v>
      </c>
      <c r="H131" s="10">
        <v>1244.45</v>
      </c>
      <c r="I131" s="9" t="s">
        <v>28</v>
      </c>
      <c r="J131" s="10">
        <v>92354.08</v>
      </c>
      <c r="K131" s="9" t="s">
        <v>26</v>
      </c>
      <c r="L131" s="9">
        <v>184332</v>
      </c>
      <c r="M131" s="9" t="s">
        <v>152</v>
      </c>
      <c r="O131" s="9">
        <v>1</v>
      </c>
    </row>
    <row r="132" spans="1:17" x14ac:dyDescent="0.25">
      <c r="A132" s="9">
        <v>8003879954</v>
      </c>
      <c r="B132" s="9">
        <v>30</v>
      </c>
      <c r="C132" s="9">
        <v>13092017</v>
      </c>
      <c r="D132" s="9">
        <v>341</v>
      </c>
      <c r="E132" s="9" t="s">
        <v>29</v>
      </c>
      <c r="F132" s="9">
        <v>9938</v>
      </c>
      <c r="G132" s="9" t="s">
        <v>888</v>
      </c>
      <c r="H132" s="10">
        <v>3710</v>
      </c>
      <c r="I132" s="9" t="s">
        <v>28</v>
      </c>
      <c r="J132" s="10">
        <v>93598.53</v>
      </c>
      <c r="K132" s="9" t="s">
        <v>26</v>
      </c>
      <c r="L132" s="9">
        <v>184331</v>
      </c>
      <c r="M132" s="9" t="s">
        <v>499</v>
      </c>
      <c r="O132" s="9">
        <v>1</v>
      </c>
      <c r="P132" s="9" t="s">
        <v>889</v>
      </c>
      <c r="Q132" s="9" t="s">
        <v>890</v>
      </c>
    </row>
    <row r="133" spans="1:17" x14ac:dyDescent="0.25">
      <c r="A133" s="9">
        <v>8003879954</v>
      </c>
      <c r="B133" s="9">
        <v>29</v>
      </c>
      <c r="C133" s="9">
        <v>13092017</v>
      </c>
      <c r="D133" s="9">
        <v>299</v>
      </c>
      <c r="E133" s="9" t="s">
        <v>30</v>
      </c>
      <c r="F133" s="9">
        <v>9938</v>
      </c>
      <c r="G133" s="9" t="s">
        <v>888</v>
      </c>
      <c r="H133" s="10">
        <v>0.01</v>
      </c>
      <c r="I133" s="9" t="s">
        <v>28</v>
      </c>
      <c r="J133" s="10">
        <v>97308.53</v>
      </c>
      <c r="K133" s="9" t="s">
        <v>26</v>
      </c>
      <c r="L133" s="9">
        <v>184331</v>
      </c>
      <c r="M133" s="9" t="s">
        <v>891</v>
      </c>
      <c r="O133" s="9">
        <v>1</v>
      </c>
    </row>
    <row r="134" spans="1:17" x14ac:dyDescent="0.25">
      <c r="A134" s="9">
        <v>8003879954</v>
      </c>
      <c r="B134" s="9">
        <v>28</v>
      </c>
      <c r="C134" s="9">
        <v>13092017</v>
      </c>
      <c r="D134" s="9">
        <v>489</v>
      </c>
      <c r="E134" s="9" t="s">
        <v>31</v>
      </c>
      <c r="F134" s="9">
        <v>9938</v>
      </c>
      <c r="G134" s="9" t="s">
        <v>888</v>
      </c>
      <c r="H134" s="10">
        <v>0.1</v>
      </c>
      <c r="I134" s="9" t="s">
        <v>28</v>
      </c>
      <c r="J134" s="10">
        <v>97308.54</v>
      </c>
      <c r="K134" s="9" t="s">
        <v>26</v>
      </c>
      <c r="L134" s="9">
        <v>184331</v>
      </c>
      <c r="M134" s="9" t="s">
        <v>891</v>
      </c>
      <c r="O134" s="9">
        <v>1</v>
      </c>
    </row>
    <row r="135" spans="1:17" x14ac:dyDescent="0.25">
      <c r="A135" s="9">
        <v>8003879954</v>
      </c>
      <c r="B135" s="9">
        <v>27</v>
      </c>
      <c r="C135" s="9">
        <v>13092017</v>
      </c>
      <c r="D135" s="9">
        <v>341</v>
      </c>
      <c r="E135" s="9" t="s">
        <v>29</v>
      </c>
      <c r="F135" s="9">
        <v>9938</v>
      </c>
      <c r="G135" s="9" t="s">
        <v>892</v>
      </c>
      <c r="H135" s="10">
        <v>90</v>
      </c>
      <c r="I135" s="9" t="s">
        <v>28</v>
      </c>
      <c r="J135" s="10">
        <v>97308.64</v>
      </c>
      <c r="K135" s="9" t="s">
        <v>26</v>
      </c>
      <c r="L135" s="9">
        <v>184331</v>
      </c>
      <c r="M135" s="9" t="s">
        <v>468</v>
      </c>
      <c r="O135" s="9">
        <v>1</v>
      </c>
      <c r="P135" s="9" t="s">
        <v>893</v>
      </c>
      <c r="Q135" s="9" t="s">
        <v>894</v>
      </c>
    </row>
    <row r="136" spans="1:17" x14ac:dyDescent="0.25">
      <c r="A136" s="9">
        <v>8003879954</v>
      </c>
      <c r="B136" s="9">
        <v>26</v>
      </c>
      <c r="C136" s="9">
        <v>13092017</v>
      </c>
      <c r="D136" s="9">
        <v>299</v>
      </c>
      <c r="E136" s="9" t="s">
        <v>30</v>
      </c>
      <c r="F136" s="9">
        <v>9938</v>
      </c>
      <c r="G136" s="9" t="s">
        <v>892</v>
      </c>
      <c r="H136" s="10">
        <v>0.01</v>
      </c>
      <c r="I136" s="9" t="s">
        <v>28</v>
      </c>
      <c r="J136" s="10">
        <v>97398.64</v>
      </c>
      <c r="K136" s="9" t="s">
        <v>26</v>
      </c>
      <c r="L136" s="9">
        <v>184331</v>
      </c>
      <c r="M136" s="9" t="s">
        <v>895</v>
      </c>
      <c r="O136" s="9">
        <v>1</v>
      </c>
    </row>
    <row r="137" spans="1:17" x14ac:dyDescent="0.25">
      <c r="A137" s="9">
        <v>8003879954</v>
      </c>
      <c r="B137" s="9">
        <v>25</v>
      </c>
      <c r="C137" s="9">
        <v>13092017</v>
      </c>
      <c r="D137" s="9">
        <v>489</v>
      </c>
      <c r="E137" s="9" t="s">
        <v>31</v>
      </c>
      <c r="F137" s="9">
        <v>9938</v>
      </c>
      <c r="G137" s="9" t="s">
        <v>892</v>
      </c>
      <c r="H137" s="10">
        <v>0.1</v>
      </c>
      <c r="I137" s="9" t="s">
        <v>28</v>
      </c>
      <c r="J137" s="10">
        <v>97398.65</v>
      </c>
      <c r="K137" s="9" t="s">
        <v>26</v>
      </c>
      <c r="L137" s="9">
        <v>184331</v>
      </c>
      <c r="M137" s="9" t="s">
        <v>895</v>
      </c>
      <c r="O137" s="9">
        <v>1</v>
      </c>
    </row>
    <row r="138" spans="1:17" x14ac:dyDescent="0.25">
      <c r="A138" s="9">
        <v>8003879954</v>
      </c>
      <c r="B138" s="9">
        <v>24</v>
      </c>
      <c r="C138" s="9">
        <v>13092017</v>
      </c>
      <c r="D138" s="9">
        <v>341</v>
      </c>
      <c r="E138" s="9" t="s">
        <v>29</v>
      </c>
      <c r="F138" s="9">
        <v>9938</v>
      </c>
      <c r="G138" s="9" t="s">
        <v>896</v>
      </c>
      <c r="H138" s="10">
        <v>907.7</v>
      </c>
      <c r="I138" s="9" t="s">
        <v>28</v>
      </c>
      <c r="J138" s="10">
        <v>97398.75</v>
      </c>
      <c r="K138" s="9" t="s">
        <v>26</v>
      </c>
      <c r="L138" s="9">
        <v>184331</v>
      </c>
      <c r="M138" s="9" t="s">
        <v>897</v>
      </c>
      <c r="O138" s="9">
        <v>1</v>
      </c>
      <c r="P138" s="9" t="s">
        <v>898</v>
      </c>
      <c r="Q138" s="9" t="s">
        <v>899</v>
      </c>
    </row>
    <row r="139" spans="1:17" x14ac:dyDescent="0.25">
      <c r="A139" s="9">
        <v>8003879954</v>
      </c>
      <c r="B139" s="9">
        <v>23</v>
      </c>
      <c r="C139" s="9">
        <v>13092017</v>
      </c>
      <c r="D139" s="9">
        <v>299</v>
      </c>
      <c r="E139" s="9" t="s">
        <v>30</v>
      </c>
      <c r="F139" s="9">
        <v>9938</v>
      </c>
      <c r="G139" s="9" t="s">
        <v>896</v>
      </c>
      <c r="H139" s="10">
        <v>0.01</v>
      </c>
      <c r="I139" s="9" t="s">
        <v>28</v>
      </c>
      <c r="J139" s="10">
        <v>98306.45</v>
      </c>
      <c r="K139" s="9" t="s">
        <v>26</v>
      </c>
      <c r="L139" s="9">
        <v>184331</v>
      </c>
      <c r="M139" s="9" t="s">
        <v>900</v>
      </c>
      <c r="O139" s="9">
        <v>1</v>
      </c>
    </row>
    <row r="140" spans="1:17" x14ac:dyDescent="0.25">
      <c r="A140" s="9">
        <v>8003879954</v>
      </c>
      <c r="B140" s="9">
        <v>22</v>
      </c>
      <c r="C140" s="9">
        <v>13092017</v>
      </c>
      <c r="D140" s="9">
        <v>489</v>
      </c>
      <c r="E140" s="9" t="s">
        <v>31</v>
      </c>
      <c r="F140" s="9">
        <v>9938</v>
      </c>
      <c r="G140" s="9" t="s">
        <v>896</v>
      </c>
      <c r="H140" s="10">
        <v>0.1</v>
      </c>
      <c r="I140" s="9" t="s">
        <v>28</v>
      </c>
      <c r="J140" s="10">
        <v>98306.46</v>
      </c>
      <c r="K140" s="9" t="s">
        <v>26</v>
      </c>
      <c r="L140" s="9">
        <v>184331</v>
      </c>
      <c r="M140" s="9" t="s">
        <v>900</v>
      </c>
      <c r="O140" s="9">
        <v>1</v>
      </c>
    </row>
    <row r="141" spans="1:17" x14ac:dyDescent="0.25">
      <c r="A141" s="9">
        <v>8003879954</v>
      </c>
      <c r="B141" s="9">
        <v>21</v>
      </c>
      <c r="C141" s="9">
        <v>13092017</v>
      </c>
      <c r="D141" s="9">
        <v>343</v>
      </c>
      <c r="E141" s="9" t="s">
        <v>49</v>
      </c>
      <c r="F141" s="9">
        <v>9938</v>
      </c>
      <c r="G141" s="9" t="s">
        <v>901</v>
      </c>
      <c r="H141" s="10">
        <v>692.9</v>
      </c>
      <c r="I141" s="9" t="s">
        <v>28</v>
      </c>
      <c r="J141" s="10">
        <v>98306.559999999998</v>
      </c>
      <c r="K141" s="9" t="s">
        <v>26</v>
      </c>
      <c r="L141" s="9">
        <v>184331</v>
      </c>
      <c r="M141" s="9" t="s">
        <v>444</v>
      </c>
      <c r="O141" s="9">
        <v>1</v>
      </c>
    </row>
    <row r="142" spans="1:17" x14ac:dyDescent="0.25">
      <c r="A142" s="9">
        <v>8003879954</v>
      </c>
      <c r="B142" s="9">
        <v>20</v>
      </c>
      <c r="C142" s="9">
        <v>13092017</v>
      </c>
      <c r="D142" s="9">
        <v>60</v>
      </c>
      <c r="E142" s="9" t="s">
        <v>43</v>
      </c>
      <c r="F142" s="9">
        <v>9938</v>
      </c>
      <c r="G142" s="9" t="s">
        <v>902</v>
      </c>
      <c r="H142" s="10">
        <v>270</v>
      </c>
      <c r="I142" s="9" t="s">
        <v>28</v>
      </c>
      <c r="J142" s="10">
        <v>98999.46</v>
      </c>
      <c r="K142" s="9" t="s">
        <v>26</v>
      </c>
      <c r="L142" s="9">
        <v>184331</v>
      </c>
      <c r="M142" s="9" t="s">
        <v>903</v>
      </c>
      <c r="O142" s="9">
        <v>1</v>
      </c>
      <c r="P142" s="9" t="s">
        <v>904</v>
      </c>
      <c r="Q142" s="9" t="s">
        <v>905</v>
      </c>
    </row>
    <row r="143" spans="1:17" x14ac:dyDescent="0.25">
      <c r="A143" s="9">
        <v>8003879954</v>
      </c>
      <c r="B143" s="9">
        <v>19</v>
      </c>
      <c r="C143" s="9">
        <v>13092017</v>
      </c>
      <c r="D143" s="9">
        <v>60</v>
      </c>
      <c r="E143" s="9" t="s">
        <v>43</v>
      </c>
      <c r="F143" s="9">
        <v>9938</v>
      </c>
      <c r="G143" s="9" t="s">
        <v>906</v>
      </c>
      <c r="H143" s="10">
        <v>572.4</v>
      </c>
      <c r="I143" s="9" t="s">
        <v>28</v>
      </c>
      <c r="J143" s="10">
        <v>99269.46</v>
      </c>
      <c r="K143" s="9" t="s">
        <v>26</v>
      </c>
      <c r="L143" s="9">
        <v>183603</v>
      </c>
      <c r="M143" s="9" t="s">
        <v>907</v>
      </c>
      <c r="O143" s="9">
        <v>1</v>
      </c>
      <c r="P143" s="9" t="s">
        <v>908</v>
      </c>
      <c r="Q143" s="9" t="s">
        <v>909</v>
      </c>
    </row>
    <row r="144" spans="1:17" x14ac:dyDescent="0.25">
      <c r="A144" s="9">
        <v>8003879954</v>
      </c>
      <c r="B144" s="9">
        <v>18</v>
      </c>
      <c r="C144" s="9">
        <v>13092017</v>
      </c>
      <c r="D144" s="9">
        <v>345</v>
      </c>
      <c r="E144" s="9" t="s">
        <v>27</v>
      </c>
      <c r="F144" s="9">
        <v>9938</v>
      </c>
      <c r="G144" s="9" t="s">
        <v>910</v>
      </c>
      <c r="H144" s="10">
        <v>3132.5</v>
      </c>
      <c r="I144" s="9" t="s">
        <v>28</v>
      </c>
      <c r="J144" s="10">
        <v>99841.86</v>
      </c>
      <c r="K144" s="9" t="s">
        <v>26</v>
      </c>
      <c r="L144" s="9">
        <v>183557</v>
      </c>
      <c r="M144" s="9" t="s">
        <v>911</v>
      </c>
      <c r="O144" s="9">
        <v>1</v>
      </c>
      <c r="P144" s="9" t="s">
        <v>912</v>
      </c>
      <c r="Q144" s="9" t="s">
        <v>913</v>
      </c>
    </row>
    <row r="145" spans="1:17" x14ac:dyDescent="0.25">
      <c r="A145" s="9">
        <v>8003879954</v>
      </c>
      <c r="B145" s="9">
        <v>17</v>
      </c>
      <c r="C145" s="9">
        <v>13092017</v>
      </c>
      <c r="D145" s="9">
        <v>60</v>
      </c>
      <c r="E145" s="9" t="s">
        <v>43</v>
      </c>
      <c r="F145" s="9">
        <v>9938</v>
      </c>
      <c r="G145" s="9" t="s">
        <v>914</v>
      </c>
      <c r="H145" s="10">
        <v>1404</v>
      </c>
      <c r="I145" s="9" t="s">
        <v>28</v>
      </c>
      <c r="J145" s="10">
        <v>102974.36</v>
      </c>
      <c r="K145" s="9" t="s">
        <v>26</v>
      </c>
      <c r="L145" s="9">
        <v>183558</v>
      </c>
      <c r="M145" s="9" t="s">
        <v>915</v>
      </c>
      <c r="O145" s="9">
        <v>1</v>
      </c>
      <c r="P145" s="9" t="s">
        <v>916</v>
      </c>
      <c r="Q145" s="9" t="s">
        <v>74</v>
      </c>
    </row>
    <row r="146" spans="1:17" x14ac:dyDescent="0.25">
      <c r="A146" s="9">
        <v>8003879954</v>
      </c>
      <c r="B146" s="9">
        <v>16</v>
      </c>
      <c r="C146" s="9">
        <v>13092017</v>
      </c>
      <c r="D146" s="9">
        <v>341</v>
      </c>
      <c r="E146" s="9" t="s">
        <v>29</v>
      </c>
      <c r="F146" s="9">
        <v>9938</v>
      </c>
      <c r="G146" s="9" t="s">
        <v>917</v>
      </c>
      <c r="H146" s="10">
        <v>6890</v>
      </c>
      <c r="I146" s="9" t="s">
        <v>28</v>
      </c>
      <c r="J146" s="10">
        <v>104378.36</v>
      </c>
      <c r="K146" s="9" t="s">
        <v>26</v>
      </c>
      <c r="L146" s="9">
        <v>183559</v>
      </c>
      <c r="M146" s="9" t="s">
        <v>918</v>
      </c>
      <c r="O146" s="9">
        <v>1</v>
      </c>
      <c r="P146" s="9" t="s">
        <v>919</v>
      </c>
      <c r="Q146" s="9" t="s">
        <v>920</v>
      </c>
    </row>
    <row r="147" spans="1:17" x14ac:dyDescent="0.25">
      <c r="A147" s="9">
        <v>8003879954</v>
      </c>
      <c r="B147" s="9">
        <v>15</v>
      </c>
      <c r="C147" s="9">
        <v>13092017</v>
      </c>
      <c r="D147" s="9">
        <v>299</v>
      </c>
      <c r="E147" s="9" t="s">
        <v>30</v>
      </c>
      <c r="F147" s="9">
        <v>9938</v>
      </c>
      <c r="G147" s="9" t="s">
        <v>917</v>
      </c>
      <c r="H147" s="10">
        <v>0.01</v>
      </c>
      <c r="I147" s="9" t="s">
        <v>28</v>
      </c>
      <c r="J147" s="10">
        <v>111268.36</v>
      </c>
      <c r="K147" s="9" t="s">
        <v>26</v>
      </c>
      <c r="L147" s="9">
        <v>183559</v>
      </c>
      <c r="M147" s="9" t="s">
        <v>921</v>
      </c>
      <c r="O147" s="9">
        <v>1</v>
      </c>
    </row>
    <row r="148" spans="1:17" x14ac:dyDescent="0.25">
      <c r="A148" s="9">
        <v>8003879954</v>
      </c>
      <c r="B148" s="9">
        <v>14</v>
      </c>
      <c r="C148" s="9">
        <v>13092017</v>
      </c>
      <c r="D148" s="9">
        <v>489</v>
      </c>
      <c r="E148" s="9" t="s">
        <v>31</v>
      </c>
      <c r="F148" s="9">
        <v>9938</v>
      </c>
      <c r="G148" s="9" t="s">
        <v>917</v>
      </c>
      <c r="H148" s="10">
        <v>0.1</v>
      </c>
      <c r="I148" s="9" t="s">
        <v>28</v>
      </c>
      <c r="J148" s="10">
        <v>111268.37</v>
      </c>
      <c r="K148" s="9" t="s">
        <v>26</v>
      </c>
      <c r="L148" s="9">
        <v>183559</v>
      </c>
      <c r="M148" s="9" t="s">
        <v>921</v>
      </c>
      <c r="O148" s="9">
        <v>1</v>
      </c>
    </row>
    <row r="149" spans="1:17" x14ac:dyDescent="0.25">
      <c r="A149" s="9">
        <v>8003879954</v>
      </c>
      <c r="B149" s="9">
        <v>13</v>
      </c>
      <c r="C149" s="9">
        <v>13092017</v>
      </c>
      <c r="D149" s="9">
        <v>341</v>
      </c>
      <c r="E149" s="9" t="s">
        <v>29</v>
      </c>
      <c r="F149" s="9">
        <v>9938</v>
      </c>
      <c r="G149" s="9" t="s">
        <v>922</v>
      </c>
      <c r="H149" s="10">
        <v>466.4</v>
      </c>
      <c r="I149" s="9" t="s">
        <v>28</v>
      </c>
      <c r="J149" s="10">
        <v>111268.47</v>
      </c>
      <c r="K149" s="9" t="s">
        <v>26</v>
      </c>
      <c r="L149" s="9">
        <v>183557</v>
      </c>
      <c r="M149" s="9" t="s">
        <v>923</v>
      </c>
      <c r="O149" s="9">
        <v>1</v>
      </c>
      <c r="P149" s="9" t="s">
        <v>924</v>
      </c>
      <c r="Q149" s="9" t="s">
        <v>925</v>
      </c>
    </row>
    <row r="150" spans="1:17" x14ac:dyDescent="0.25">
      <c r="A150" s="9">
        <v>8003879954</v>
      </c>
      <c r="B150" s="9">
        <v>12</v>
      </c>
      <c r="C150" s="9">
        <v>13092017</v>
      </c>
      <c r="D150" s="9">
        <v>299</v>
      </c>
      <c r="E150" s="9" t="s">
        <v>30</v>
      </c>
      <c r="F150" s="9">
        <v>9938</v>
      </c>
      <c r="G150" s="9" t="s">
        <v>922</v>
      </c>
      <c r="H150" s="10">
        <v>0.01</v>
      </c>
      <c r="I150" s="9" t="s">
        <v>28</v>
      </c>
      <c r="J150" s="10">
        <v>111734.87</v>
      </c>
      <c r="K150" s="9" t="s">
        <v>26</v>
      </c>
      <c r="L150" s="9">
        <v>183557</v>
      </c>
      <c r="M150" s="9" t="s">
        <v>926</v>
      </c>
      <c r="O150" s="9">
        <v>1</v>
      </c>
    </row>
    <row r="151" spans="1:17" x14ac:dyDescent="0.25">
      <c r="A151" s="9">
        <v>8003879954</v>
      </c>
      <c r="B151" s="9">
        <v>11</v>
      </c>
      <c r="C151" s="9">
        <v>13092017</v>
      </c>
      <c r="D151" s="9">
        <v>489</v>
      </c>
      <c r="E151" s="9" t="s">
        <v>31</v>
      </c>
      <c r="F151" s="9">
        <v>9938</v>
      </c>
      <c r="G151" s="9" t="s">
        <v>922</v>
      </c>
      <c r="H151" s="10">
        <v>0.1</v>
      </c>
      <c r="I151" s="9" t="s">
        <v>28</v>
      </c>
      <c r="J151" s="10">
        <v>111734.88</v>
      </c>
      <c r="K151" s="9" t="s">
        <v>26</v>
      </c>
      <c r="L151" s="9">
        <v>183557</v>
      </c>
      <c r="M151" s="9" t="s">
        <v>926</v>
      </c>
      <c r="O151" s="9">
        <v>1</v>
      </c>
    </row>
    <row r="152" spans="1:17" x14ac:dyDescent="0.25">
      <c r="A152" s="9">
        <v>8003879954</v>
      </c>
      <c r="B152" s="9">
        <v>10</v>
      </c>
      <c r="C152" s="9">
        <v>13092017</v>
      </c>
      <c r="D152" s="9">
        <v>341</v>
      </c>
      <c r="E152" s="9" t="s">
        <v>29</v>
      </c>
      <c r="F152" s="9">
        <v>9938</v>
      </c>
      <c r="G152" s="9" t="s">
        <v>927</v>
      </c>
      <c r="H152" s="10">
        <v>5300</v>
      </c>
      <c r="I152" s="9" t="s">
        <v>28</v>
      </c>
      <c r="J152" s="10">
        <v>111734.98</v>
      </c>
      <c r="K152" s="9" t="s">
        <v>26</v>
      </c>
      <c r="L152" s="9">
        <v>183558</v>
      </c>
      <c r="M152" s="9" t="s">
        <v>928</v>
      </c>
      <c r="O152" s="9">
        <v>1</v>
      </c>
      <c r="P152" s="9" t="s">
        <v>929</v>
      </c>
      <c r="Q152" s="9" t="s">
        <v>930</v>
      </c>
    </row>
    <row r="153" spans="1:17" x14ac:dyDescent="0.25">
      <c r="A153" s="9">
        <v>8003879954</v>
      </c>
      <c r="B153" s="9">
        <v>9</v>
      </c>
      <c r="C153" s="9">
        <v>13092017</v>
      </c>
      <c r="D153" s="9">
        <v>299</v>
      </c>
      <c r="E153" s="9" t="s">
        <v>30</v>
      </c>
      <c r="F153" s="9">
        <v>9938</v>
      </c>
      <c r="G153" s="9" t="s">
        <v>927</v>
      </c>
      <c r="H153" s="10">
        <v>0.01</v>
      </c>
      <c r="I153" s="9" t="s">
        <v>28</v>
      </c>
      <c r="J153" s="10">
        <v>117034.98</v>
      </c>
      <c r="K153" s="9" t="s">
        <v>26</v>
      </c>
      <c r="L153" s="9">
        <v>183558</v>
      </c>
      <c r="M153" s="9" t="s">
        <v>931</v>
      </c>
      <c r="O153" s="9">
        <v>1</v>
      </c>
    </row>
    <row r="154" spans="1:17" x14ac:dyDescent="0.25">
      <c r="A154" s="9">
        <v>8003879954</v>
      </c>
      <c r="B154" s="9">
        <v>8</v>
      </c>
      <c r="C154" s="9">
        <v>13092017</v>
      </c>
      <c r="D154" s="9">
        <v>489</v>
      </c>
      <c r="E154" s="9" t="s">
        <v>31</v>
      </c>
      <c r="F154" s="9">
        <v>9938</v>
      </c>
      <c r="G154" s="9" t="s">
        <v>927</v>
      </c>
      <c r="H154" s="10">
        <v>0.1</v>
      </c>
      <c r="I154" s="9" t="s">
        <v>28</v>
      </c>
      <c r="J154" s="10">
        <v>117034.99</v>
      </c>
      <c r="K154" s="9" t="s">
        <v>26</v>
      </c>
      <c r="L154" s="9">
        <v>183558</v>
      </c>
      <c r="M154" s="9" t="s">
        <v>931</v>
      </c>
      <c r="O154" s="9">
        <v>1</v>
      </c>
    </row>
    <row r="155" spans="1:17" x14ac:dyDescent="0.25">
      <c r="A155" s="9">
        <v>8003879954</v>
      </c>
      <c r="B155" s="9">
        <v>7</v>
      </c>
      <c r="C155" s="9">
        <v>13092017</v>
      </c>
      <c r="D155" s="9">
        <v>60</v>
      </c>
      <c r="E155" s="9" t="s">
        <v>43</v>
      </c>
      <c r="F155" s="9">
        <v>9938</v>
      </c>
      <c r="G155" s="9" t="s">
        <v>932</v>
      </c>
      <c r="H155" s="10">
        <v>3420</v>
      </c>
      <c r="I155" s="9" t="s">
        <v>28</v>
      </c>
      <c r="J155" s="10">
        <v>117035.09</v>
      </c>
      <c r="K155" s="9" t="s">
        <v>26</v>
      </c>
      <c r="L155" s="9">
        <v>183558</v>
      </c>
      <c r="M155" s="9" t="s">
        <v>933</v>
      </c>
      <c r="O155" s="9">
        <v>1</v>
      </c>
      <c r="P155" s="9" t="s">
        <v>934</v>
      </c>
      <c r="Q155" s="9" t="s">
        <v>184</v>
      </c>
    </row>
    <row r="156" spans="1:17" x14ac:dyDescent="0.25">
      <c r="A156" s="9">
        <v>8003879954</v>
      </c>
      <c r="B156" s="9">
        <v>6</v>
      </c>
      <c r="C156" s="9">
        <v>13092017</v>
      </c>
      <c r="D156" s="9">
        <v>341</v>
      </c>
      <c r="E156" s="9" t="s">
        <v>29</v>
      </c>
      <c r="F156" s="9">
        <v>9938</v>
      </c>
      <c r="G156" s="9" t="s">
        <v>935</v>
      </c>
      <c r="H156" s="10">
        <v>450</v>
      </c>
      <c r="I156" s="9" t="s">
        <v>28</v>
      </c>
      <c r="J156" s="10">
        <v>120455.09</v>
      </c>
      <c r="K156" s="9" t="s">
        <v>26</v>
      </c>
      <c r="L156" s="9">
        <v>183557</v>
      </c>
      <c r="M156" s="9" t="s">
        <v>165</v>
      </c>
      <c r="O156" s="9">
        <v>1</v>
      </c>
      <c r="P156" s="9" t="s">
        <v>936</v>
      </c>
      <c r="Q156" s="9" t="s">
        <v>937</v>
      </c>
    </row>
    <row r="157" spans="1:17" x14ac:dyDescent="0.25">
      <c r="A157" s="9">
        <v>8003879954</v>
      </c>
      <c r="B157" s="9">
        <v>5</v>
      </c>
      <c r="C157" s="9">
        <v>13092017</v>
      </c>
      <c r="D157" s="9">
        <v>299</v>
      </c>
      <c r="E157" s="9" t="s">
        <v>30</v>
      </c>
      <c r="F157" s="9">
        <v>9938</v>
      </c>
      <c r="G157" s="9" t="s">
        <v>935</v>
      </c>
      <c r="H157" s="10">
        <v>0.01</v>
      </c>
      <c r="I157" s="9" t="s">
        <v>28</v>
      </c>
      <c r="J157" s="10">
        <v>120905.09</v>
      </c>
      <c r="K157" s="9" t="s">
        <v>26</v>
      </c>
      <c r="L157" s="9">
        <v>183557</v>
      </c>
      <c r="M157" s="9" t="s">
        <v>938</v>
      </c>
      <c r="O157" s="9">
        <v>1</v>
      </c>
    </row>
    <row r="158" spans="1:17" x14ac:dyDescent="0.25">
      <c r="A158" s="9">
        <v>8003879954</v>
      </c>
      <c r="B158" s="9">
        <v>4</v>
      </c>
      <c r="C158" s="9">
        <v>13092017</v>
      </c>
      <c r="D158" s="9">
        <v>489</v>
      </c>
      <c r="E158" s="9" t="s">
        <v>31</v>
      </c>
      <c r="F158" s="9">
        <v>9938</v>
      </c>
      <c r="G158" s="9" t="s">
        <v>935</v>
      </c>
      <c r="H158" s="10">
        <v>0.1</v>
      </c>
      <c r="I158" s="9" t="s">
        <v>28</v>
      </c>
      <c r="J158" s="10">
        <v>120905.1</v>
      </c>
      <c r="K158" s="9" t="s">
        <v>26</v>
      </c>
      <c r="L158" s="9">
        <v>183557</v>
      </c>
      <c r="M158" s="9" t="s">
        <v>938</v>
      </c>
      <c r="O158" s="9">
        <v>1</v>
      </c>
    </row>
    <row r="159" spans="1:17" x14ac:dyDescent="0.25">
      <c r="A159" s="9">
        <v>8003879954</v>
      </c>
      <c r="B159" s="9">
        <v>3</v>
      </c>
      <c r="C159" s="9">
        <v>13092017</v>
      </c>
      <c r="D159" s="9">
        <v>345</v>
      </c>
      <c r="E159" s="9" t="s">
        <v>27</v>
      </c>
      <c r="F159" s="9">
        <v>9938</v>
      </c>
      <c r="G159" s="9" t="s">
        <v>939</v>
      </c>
      <c r="H159" s="10">
        <v>2025</v>
      </c>
      <c r="I159" s="9" t="s">
        <v>28</v>
      </c>
      <c r="J159" s="10">
        <v>120905.2</v>
      </c>
      <c r="K159" s="9" t="s">
        <v>26</v>
      </c>
      <c r="L159" s="9">
        <v>183557</v>
      </c>
      <c r="M159" s="9" t="s">
        <v>940</v>
      </c>
      <c r="O159" s="9">
        <v>1</v>
      </c>
      <c r="P159" s="9" t="s">
        <v>941</v>
      </c>
      <c r="Q159" s="9" t="s">
        <v>250</v>
      </c>
    </row>
    <row r="160" spans="1:17" x14ac:dyDescent="0.25">
      <c r="A160" s="9">
        <v>8003879954</v>
      </c>
      <c r="B160" s="9">
        <v>2</v>
      </c>
      <c r="C160" s="9">
        <v>13092017</v>
      </c>
      <c r="D160" s="9">
        <v>345</v>
      </c>
      <c r="E160" s="9" t="s">
        <v>27</v>
      </c>
      <c r="F160" s="9">
        <v>9938</v>
      </c>
      <c r="G160" s="9" t="s">
        <v>942</v>
      </c>
      <c r="H160" s="10">
        <v>185.5</v>
      </c>
      <c r="I160" s="9" t="s">
        <v>28</v>
      </c>
      <c r="J160" s="10">
        <v>122930.2</v>
      </c>
      <c r="K160" s="9" t="s">
        <v>26</v>
      </c>
      <c r="L160" s="9">
        <v>183557</v>
      </c>
      <c r="M160" s="9" t="s">
        <v>943</v>
      </c>
      <c r="O160" s="9">
        <v>1</v>
      </c>
      <c r="P160" s="9" t="s">
        <v>944</v>
      </c>
      <c r="Q160" s="9" t="s">
        <v>74</v>
      </c>
    </row>
    <row r="161" spans="1:18" hidden="1" x14ac:dyDescent="0.25">
      <c r="A161" s="9">
        <v>8003879954</v>
      </c>
      <c r="B161" s="9">
        <v>1</v>
      </c>
      <c r="C161" s="9">
        <v>13092017</v>
      </c>
      <c r="D161" s="9">
        <v>141</v>
      </c>
      <c r="E161" s="9" t="s">
        <v>36</v>
      </c>
      <c r="F161" s="9">
        <v>6048</v>
      </c>
      <c r="G161" s="9" t="s">
        <v>945</v>
      </c>
      <c r="H161" s="10">
        <v>541.15</v>
      </c>
      <c r="I161" s="9" t="s">
        <v>26</v>
      </c>
      <c r="J161" s="10">
        <v>123115.7</v>
      </c>
      <c r="K161" s="9" t="s">
        <v>26</v>
      </c>
      <c r="L161" s="9">
        <v>134754</v>
      </c>
      <c r="M161" s="9" t="s">
        <v>53</v>
      </c>
      <c r="O161" s="9">
        <v>1</v>
      </c>
      <c r="P161" s="9" t="s">
        <v>946</v>
      </c>
      <c r="R161" s="9" t="s">
        <v>315</v>
      </c>
    </row>
    <row r="162" spans="1:18" x14ac:dyDescent="0.25">
      <c r="A162" s="9">
        <v>8003879954</v>
      </c>
      <c r="B162" s="9">
        <v>3</v>
      </c>
      <c r="C162" s="9">
        <v>12092017</v>
      </c>
      <c r="D162" s="9">
        <v>299</v>
      </c>
      <c r="E162" s="9" t="s">
        <v>30</v>
      </c>
      <c r="H162" s="10">
        <v>0.03</v>
      </c>
      <c r="I162" s="9" t="s">
        <v>28</v>
      </c>
      <c r="J162" s="10">
        <v>122574.55</v>
      </c>
      <c r="K162" s="9" t="s">
        <v>26</v>
      </c>
      <c r="L162" s="9">
        <v>11735</v>
      </c>
      <c r="M162" s="9" t="s">
        <v>53</v>
      </c>
      <c r="O162" s="9">
        <v>1</v>
      </c>
    </row>
    <row r="163" spans="1:18" x14ac:dyDescent="0.25">
      <c r="A163" s="9">
        <v>8003879954</v>
      </c>
      <c r="B163" s="9">
        <v>2</v>
      </c>
      <c r="C163" s="9">
        <v>12092017</v>
      </c>
      <c r="D163" s="9">
        <v>819</v>
      </c>
      <c r="E163" s="9" t="s">
        <v>32</v>
      </c>
      <c r="H163" s="10">
        <v>0.5</v>
      </c>
      <c r="I163" s="9" t="s">
        <v>28</v>
      </c>
      <c r="J163" s="10">
        <v>122574.58</v>
      </c>
      <c r="K163" s="9" t="s">
        <v>26</v>
      </c>
      <c r="L163" s="9">
        <v>11735</v>
      </c>
      <c r="M163" s="9" t="s">
        <v>53</v>
      </c>
      <c r="O163" s="9">
        <v>1</v>
      </c>
    </row>
    <row r="164" spans="1:18" x14ac:dyDescent="0.25">
      <c r="A164" s="9">
        <v>8003879954</v>
      </c>
      <c r="B164" s="9">
        <v>1</v>
      </c>
      <c r="C164" s="9">
        <v>12092017</v>
      </c>
      <c r="D164" s="9">
        <v>323</v>
      </c>
      <c r="E164" s="9" t="s">
        <v>33</v>
      </c>
      <c r="F164" s="9">
        <v>0</v>
      </c>
      <c r="G164" s="9" t="s">
        <v>947</v>
      </c>
      <c r="H164" s="10">
        <v>1560.9</v>
      </c>
      <c r="I164" s="9" t="s">
        <v>28</v>
      </c>
      <c r="J164" s="10">
        <v>122575.08</v>
      </c>
      <c r="K164" s="9" t="s">
        <v>26</v>
      </c>
      <c r="L164" s="9">
        <v>11620</v>
      </c>
      <c r="M164" s="9" t="s">
        <v>53</v>
      </c>
      <c r="O164" s="9">
        <v>1</v>
      </c>
    </row>
    <row r="165" spans="1:18" x14ac:dyDescent="0.25">
      <c r="A165" s="9">
        <v>8003879954</v>
      </c>
      <c r="B165" s="9">
        <v>17</v>
      </c>
      <c r="C165" s="9">
        <v>8092017</v>
      </c>
      <c r="D165" s="9">
        <v>299</v>
      </c>
      <c r="E165" s="9" t="s">
        <v>30</v>
      </c>
      <c r="H165" s="10">
        <v>0.03</v>
      </c>
      <c r="I165" s="9" t="s">
        <v>28</v>
      </c>
      <c r="J165" s="10">
        <v>124135.98</v>
      </c>
      <c r="K165" s="9" t="s">
        <v>26</v>
      </c>
      <c r="L165" s="9">
        <v>5807</v>
      </c>
      <c r="M165" s="9" t="s">
        <v>53</v>
      </c>
      <c r="O165" s="9">
        <v>1</v>
      </c>
    </row>
    <row r="166" spans="1:18" x14ac:dyDescent="0.25">
      <c r="A166" s="9">
        <v>8003879954</v>
      </c>
      <c r="B166" s="9">
        <v>16</v>
      </c>
      <c r="C166" s="9">
        <v>8092017</v>
      </c>
      <c r="D166" s="9">
        <v>819</v>
      </c>
      <c r="E166" s="9" t="s">
        <v>32</v>
      </c>
      <c r="H166" s="10">
        <v>0.5</v>
      </c>
      <c r="I166" s="9" t="s">
        <v>28</v>
      </c>
      <c r="J166" s="10">
        <v>124136.01</v>
      </c>
      <c r="K166" s="9" t="s">
        <v>26</v>
      </c>
      <c r="L166" s="9">
        <v>5807</v>
      </c>
      <c r="M166" s="9" t="s">
        <v>53</v>
      </c>
      <c r="O166" s="9">
        <v>1</v>
      </c>
    </row>
    <row r="167" spans="1:18" x14ac:dyDescent="0.25">
      <c r="A167" s="9">
        <v>8003879954</v>
      </c>
      <c r="B167" s="9">
        <v>15</v>
      </c>
      <c r="C167" s="9">
        <v>8092017</v>
      </c>
      <c r="D167" s="9">
        <v>299</v>
      </c>
      <c r="E167" s="9" t="s">
        <v>30</v>
      </c>
      <c r="H167" s="10">
        <v>0.06</v>
      </c>
      <c r="I167" s="9" t="s">
        <v>28</v>
      </c>
      <c r="J167" s="10">
        <v>124136.51</v>
      </c>
      <c r="K167" s="9" t="s">
        <v>26</v>
      </c>
      <c r="L167" s="9">
        <v>5807</v>
      </c>
      <c r="M167" s="9" t="s">
        <v>53</v>
      </c>
      <c r="O167" s="9">
        <v>1</v>
      </c>
    </row>
    <row r="168" spans="1:18" x14ac:dyDescent="0.25">
      <c r="A168" s="9">
        <v>8003879954</v>
      </c>
      <c r="B168" s="9">
        <v>14</v>
      </c>
      <c r="C168" s="9">
        <v>8092017</v>
      </c>
      <c r="D168" s="9">
        <v>819</v>
      </c>
      <c r="E168" s="9" t="s">
        <v>32</v>
      </c>
      <c r="H168" s="10">
        <v>1</v>
      </c>
      <c r="I168" s="9" t="s">
        <v>28</v>
      </c>
      <c r="J168" s="10">
        <v>124136.57</v>
      </c>
      <c r="K168" s="9" t="s">
        <v>26</v>
      </c>
      <c r="L168" s="9">
        <v>5807</v>
      </c>
      <c r="M168" s="9" t="s">
        <v>53</v>
      </c>
      <c r="O168" s="9">
        <v>1</v>
      </c>
    </row>
    <row r="169" spans="1:18" x14ac:dyDescent="0.25">
      <c r="A169" s="9">
        <v>8003879954</v>
      </c>
      <c r="B169" s="9">
        <v>13</v>
      </c>
      <c r="C169" s="9">
        <v>8092017</v>
      </c>
      <c r="D169" s="9">
        <v>323</v>
      </c>
      <c r="E169" s="9" t="s">
        <v>33</v>
      </c>
      <c r="F169" s="9">
        <v>0</v>
      </c>
      <c r="G169" s="9" t="s">
        <v>948</v>
      </c>
      <c r="H169" s="10">
        <v>10667.84</v>
      </c>
      <c r="I169" s="9" t="s">
        <v>28</v>
      </c>
      <c r="J169" s="10">
        <v>124137.57</v>
      </c>
      <c r="K169" s="9" t="s">
        <v>26</v>
      </c>
      <c r="L169" s="9">
        <v>5657</v>
      </c>
      <c r="M169" s="9" t="s">
        <v>53</v>
      </c>
      <c r="O169" s="9">
        <v>1</v>
      </c>
    </row>
    <row r="170" spans="1:18" x14ac:dyDescent="0.25">
      <c r="A170" s="9">
        <v>8003879954</v>
      </c>
      <c r="B170" s="9">
        <v>12</v>
      </c>
      <c r="C170" s="9">
        <v>8092017</v>
      </c>
      <c r="D170" s="9">
        <v>323</v>
      </c>
      <c r="E170" s="9" t="s">
        <v>33</v>
      </c>
      <c r="F170" s="9">
        <v>0</v>
      </c>
      <c r="G170" s="9" t="s">
        <v>949</v>
      </c>
      <c r="H170" s="10">
        <v>207760</v>
      </c>
      <c r="I170" s="9" t="s">
        <v>28</v>
      </c>
      <c r="J170" s="10">
        <v>134805.41</v>
      </c>
      <c r="K170" s="9" t="s">
        <v>26</v>
      </c>
      <c r="L170" s="9">
        <v>5657</v>
      </c>
      <c r="M170" s="9" t="s">
        <v>53</v>
      </c>
      <c r="O170" s="9">
        <v>1</v>
      </c>
    </row>
    <row r="171" spans="1:18" x14ac:dyDescent="0.25">
      <c r="A171" s="9">
        <v>8003879954</v>
      </c>
      <c r="B171" s="9">
        <v>11</v>
      </c>
      <c r="C171" s="9">
        <v>8092017</v>
      </c>
      <c r="D171" s="9">
        <v>321</v>
      </c>
      <c r="E171" s="9" t="s">
        <v>37</v>
      </c>
      <c r="F171" s="9">
        <v>0</v>
      </c>
      <c r="G171" s="9" t="s">
        <v>950</v>
      </c>
      <c r="H171" s="10">
        <v>3853.05</v>
      </c>
      <c r="I171" s="9" t="s">
        <v>28</v>
      </c>
      <c r="J171" s="10">
        <v>342565.41</v>
      </c>
      <c r="K171" s="9" t="s">
        <v>26</v>
      </c>
      <c r="L171" s="9">
        <v>5657</v>
      </c>
      <c r="M171" s="9" t="s">
        <v>53</v>
      </c>
      <c r="O171" s="9">
        <v>1</v>
      </c>
    </row>
    <row r="172" spans="1:18" hidden="1" x14ac:dyDescent="0.25">
      <c r="A172" s="9">
        <v>8003879954</v>
      </c>
      <c r="B172" s="9">
        <v>10</v>
      </c>
      <c r="C172" s="9">
        <v>8092017</v>
      </c>
      <c r="D172" s="9">
        <v>5</v>
      </c>
      <c r="E172" s="9" t="s">
        <v>42</v>
      </c>
      <c r="H172" s="10">
        <v>90000</v>
      </c>
      <c r="I172" s="9" t="s">
        <v>26</v>
      </c>
      <c r="J172" s="10">
        <v>346418.46</v>
      </c>
      <c r="K172" s="9" t="s">
        <v>26</v>
      </c>
      <c r="L172" s="9">
        <v>153057</v>
      </c>
      <c r="M172" s="9" t="s">
        <v>951</v>
      </c>
      <c r="O172" s="9">
        <v>1</v>
      </c>
      <c r="P172" s="9" t="s">
        <v>952</v>
      </c>
      <c r="Q172" s="9" t="s">
        <v>59</v>
      </c>
      <c r="R172" s="9" t="s">
        <v>60</v>
      </c>
    </row>
    <row r="173" spans="1:18" x14ac:dyDescent="0.25">
      <c r="A173" s="9">
        <v>8003879954</v>
      </c>
      <c r="B173" s="9">
        <v>9</v>
      </c>
      <c r="C173" s="9">
        <v>8092017</v>
      </c>
      <c r="D173" s="9">
        <v>299</v>
      </c>
      <c r="E173" s="9" t="s">
        <v>44</v>
      </c>
      <c r="F173" s="9">
        <v>72</v>
      </c>
      <c r="G173" s="9" t="s">
        <v>953</v>
      </c>
      <c r="H173" s="10">
        <v>0.6</v>
      </c>
      <c r="I173" s="9" t="s">
        <v>28</v>
      </c>
      <c r="J173" s="10">
        <v>256418.46</v>
      </c>
      <c r="K173" s="9" t="s">
        <v>26</v>
      </c>
      <c r="L173" s="9">
        <v>152535</v>
      </c>
      <c r="M173" s="9" t="s">
        <v>954</v>
      </c>
      <c r="O173" s="9">
        <v>1</v>
      </c>
    </row>
    <row r="174" spans="1:18" x14ac:dyDescent="0.25">
      <c r="A174" s="9">
        <v>8003879954</v>
      </c>
      <c r="B174" s="9">
        <v>8</v>
      </c>
      <c r="C174" s="9">
        <v>8092017</v>
      </c>
      <c r="D174" s="9">
        <v>415</v>
      </c>
      <c r="E174" s="9" t="s">
        <v>34</v>
      </c>
      <c r="F174" s="9">
        <v>72</v>
      </c>
      <c r="G174" s="9" t="s">
        <v>953</v>
      </c>
      <c r="H174" s="10">
        <v>10</v>
      </c>
      <c r="I174" s="9" t="s">
        <v>28</v>
      </c>
      <c r="J174" s="10">
        <v>256419.06</v>
      </c>
      <c r="K174" s="9" t="s">
        <v>26</v>
      </c>
      <c r="L174" s="9">
        <v>152535</v>
      </c>
      <c r="M174" s="9" t="s">
        <v>954</v>
      </c>
      <c r="O174" s="9">
        <v>1</v>
      </c>
    </row>
    <row r="175" spans="1:18" x14ac:dyDescent="0.25">
      <c r="A175" s="9">
        <v>8003879954</v>
      </c>
      <c r="B175" s="9">
        <v>7</v>
      </c>
      <c r="C175" s="9">
        <v>8092017</v>
      </c>
      <c r="D175" s="9">
        <v>349</v>
      </c>
      <c r="E175" s="9" t="s">
        <v>35</v>
      </c>
      <c r="F175" s="9">
        <v>72</v>
      </c>
      <c r="G175" s="9" t="s">
        <v>953</v>
      </c>
      <c r="H175" s="10">
        <v>45572.63</v>
      </c>
      <c r="I175" s="9" t="s">
        <v>28</v>
      </c>
      <c r="J175" s="10">
        <v>256429.06</v>
      </c>
      <c r="K175" s="9" t="s">
        <v>26</v>
      </c>
      <c r="L175" s="9">
        <v>152535</v>
      </c>
      <c r="M175" s="9" t="s">
        <v>954</v>
      </c>
      <c r="O175" s="9">
        <v>1</v>
      </c>
    </row>
    <row r="176" spans="1:18" hidden="1" x14ac:dyDescent="0.25">
      <c r="A176" s="9">
        <v>8003879954</v>
      </c>
      <c r="B176" s="9">
        <v>3</v>
      </c>
      <c r="C176" s="9">
        <v>8092017</v>
      </c>
      <c r="D176" s="9">
        <v>300</v>
      </c>
      <c r="E176" s="15" t="s">
        <v>1104</v>
      </c>
      <c r="F176" s="9">
        <v>2001</v>
      </c>
      <c r="G176" s="9" t="s">
        <v>955</v>
      </c>
      <c r="H176" s="10">
        <v>-2.16</v>
      </c>
      <c r="I176" s="9" t="s">
        <v>26</v>
      </c>
      <c r="J176" s="10">
        <v>302037.69</v>
      </c>
      <c r="K176" s="9" t="s">
        <v>26</v>
      </c>
      <c r="L176" s="9">
        <v>132426</v>
      </c>
      <c r="M176" s="9" t="s">
        <v>956</v>
      </c>
      <c r="O176" s="9">
        <v>1</v>
      </c>
    </row>
    <row r="177" spans="1:18" hidden="1" x14ac:dyDescent="0.25">
      <c r="A177" s="9">
        <v>8003879954</v>
      </c>
      <c r="B177" s="9">
        <v>1</v>
      </c>
      <c r="C177" s="9">
        <v>8092017</v>
      </c>
      <c r="D177" s="9">
        <v>141</v>
      </c>
      <c r="E177" s="15" t="s">
        <v>1103</v>
      </c>
      <c r="F177" s="9">
        <v>2001</v>
      </c>
      <c r="G177" s="9" t="s">
        <v>955</v>
      </c>
      <c r="H177" s="10">
        <v>-36</v>
      </c>
      <c r="I177" s="9" t="s">
        <v>26</v>
      </c>
      <c r="J177" s="10">
        <v>301999.53000000003</v>
      </c>
      <c r="K177" s="9" t="s">
        <v>26</v>
      </c>
      <c r="L177" s="9">
        <v>132426</v>
      </c>
      <c r="M177" s="9" t="s">
        <v>956</v>
      </c>
      <c r="O177" s="9">
        <v>1</v>
      </c>
    </row>
    <row r="178" spans="1:18" x14ac:dyDescent="0.25">
      <c r="A178" s="9">
        <v>8003879954</v>
      </c>
      <c r="B178" s="9">
        <v>3</v>
      </c>
      <c r="C178" s="9">
        <v>7092017</v>
      </c>
      <c r="D178" s="9">
        <v>299</v>
      </c>
      <c r="E178" s="9" t="str">
        <f>"GST"</f>
        <v>GST</v>
      </c>
      <c r="H178" s="10">
        <v>0.03</v>
      </c>
      <c r="I178" s="9" t="s">
        <v>28</v>
      </c>
      <c r="J178" s="10">
        <v>301963.53000000003</v>
      </c>
      <c r="K178" s="9" t="s">
        <v>26</v>
      </c>
      <c r="L178" s="9">
        <v>5648</v>
      </c>
      <c r="M178" s="9" t="str">
        <f>""</f>
        <v/>
      </c>
      <c r="O178" s="9">
        <v>1</v>
      </c>
    </row>
    <row r="179" spans="1:18" x14ac:dyDescent="0.25">
      <c r="A179" s="9">
        <v>8003879954</v>
      </c>
      <c r="B179" s="9">
        <v>2</v>
      </c>
      <c r="C179" s="9">
        <v>7092017</v>
      </c>
      <c r="D179" s="9">
        <v>819</v>
      </c>
      <c r="E179" s="9" t="str">
        <f>"CHQ PROCESSING FEE"</f>
        <v>CHQ PROCESSING FEE</v>
      </c>
      <c r="H179" s="10">
        <v>0.5</v>
      </c>
      <c r="I179" s="9" t="s">
        <v>28</v>
      </c>
      <c r="J179" s="10">
        <v>301963.56</v>
      </c>
      <c r="K179" s="9" t="s">
        <v>26</v>
      </c>
      <c r="L179" s="9">
        <v>5648</v>
      </c>
      <c r="M179" s="9" t="str">
        <f>""</f>
        <v/>
      </c>
      <c r="O179" s="9">
        <v>1</v>
      </c>
    </row>
    <row r="180" spans="1:18" x14ac:dyDescent="0.25">
      <c r="A180" s="9">
        <v>8003879954</v>
      </c>
      <c r="B180" s="9">
        <v>1</v>
      </c>
      <c r="C180" s="9">
        <v>7092017</v>
      </c>
      <c r="D180" s="9">
        <v>323</v>
      </c>
      <c r="E180" s="9" t="str">
        <f>"CLRG CHQ DR"</f>
        <v>CLRG CHQ DR</v>
      </c>
      <c r="F180" s="9">
        <v>0</v>
      </c>
      <c r="G180" s="9" t="str">
        <f>"00688029"</f>
        <v>00688029</v>
      </c>
      <c r="H180" s="10">
        <v>170</v>
      </c>
      <c r="I180" s="9" t="s">
        <v>28</v>
      </c>
      <c r="J180" s="10">
        <v>301964.06</v>
      </c>
      <c r="K180" s="9" t="s">
        <v>26</v>
      </c>
      <c r="L180" s="9">
        <v>5440</v>
      </c>
      <c r="M180" s="9" t="str">
        <f>""</f>
        <v/>
      </c>
      <c r="O180" s="9">
        <v>1</v>
      </c>
    </row>
    <row r="181" spans="1:18" x14ac:dyDescent="0.25">
      <c r="A181" s="9">
        <v>8003879954</v>
      </c>
      <c r="B181" s="9">
        <v>13</v>
      </c>
      <c r="C181" s="9">
        <v>6092017</v>
      </c>
      <c r="D181" s="9">
        <v>299</v>
      </c>
      <c r="E181" s="9" t="str">
        <f>"GST"</f>
        <v>GST</v>
      </c>
      <c r="H181" s="10">
        <v>0.06</v>
      </c>
      <c r="I181" s="9" t="s">
        <v>28</v>
      </c>
      <c r="J181" s="10">
        <v>302134.06</v>
      </c>
      <c r="K181" s="9" t="s">
        <v>26</v>
      </c>
      <c r="L181" s="9">
        <v>5625</v>
      </c>
      <c r="M181" s="9" t="str">
        <f>""</f>
        <v/>
      </c>
      <c r="O181" s="9">
        <v>1</v>
      </c>
    </row>
    <row r="182" spans="1:18" x14ac:dyDescent="0.25">
      <c r="A182" s="9">
        <v>8003879954</v>
      </c>
      <c r="B182" s="9">
        <v>12</v>
      </c>
      <c r="C182" s="9">
        <v>6092017</v>
      </c>
      <c r="D182" s="9">
        <v>819</v>
      </c>
      <c r="E182" s="9" t="str">
        <f>"CHQ PROCESSING FEE"</f>
        <v>CHQ PROCESSING FEE</v>
      </c>
      <c r="H182" s="10">
        <v>1</v>
      </c>
      <c r="I182" s="9" t="s">
        <v>28</v>
      </c>
      <c r="J182" s="10">
        <v>302134.12</v>
      </c>
      <c r="K182" s="9" t="s">
        <v>26</v>
      </c>
      <c r="L182" s="9">
        <v>5625</v>
      </c>
      <c r="M182" s="9" t="str">
        <f>""</f>
        <v/>
      </c>
      <c r="O182" s="9">
        <v>1</v>
      </c>
    </row>
    <row r="183" spans="1:18" x14ac:dyDescent="0.25">
      <c r="A183" s="9">
        <v>8003879954</v>
      </c>
      <c r="B183" s="9">
        <v>11</v>
      </c>
      <c r="C183" s="9">
        <v>6092017</v>
      </c>
      <c r="D183" s="9">
        <v>299</v>
      </c>
      <c r="E183" s="9" t="str">
        <f>"GST"</f>
        <v>GST</v>
      </c>
      <c r="H183" s="10">
        <v>0.09</v>
      </c>
      <c r="I183" s="9" t="s">
        <v>28</v>
      </c>
      <c r="J183" s="10">
        <v>302135.12</v>
      </c>
      <c r="K183" s="9" t="s">
        <v>26</v>
      </c>
      <c r="L183" s="9">
        <v>5625</v>
      </c>
      <c r="M183" s="9" t="str">
        <f>""</f>
        <v/>
      </c>
      <c r="O183" s="9">
        <v>1</v>
      </c>
    </row>
    <row r="184" spans="1:18" x14ac:dyDescent="0.25">
      <c r="A184" s="9">
        <v>8003879954</v>
      </c>
      <c r="B184" s="9">
        <v>10</v>
      </c>
      <c r="C184" s="9">
        <v>6092017</v>
      </c>
      <c r="D184" s="9">
        <v>819</v>
      </c>
      <c r="E184" s="9" t="str">
        <f>"CHQ PROCESSING FEE"</f>
        <v>CHQ PROCESSING FEE</v>
      </c>
      <c r="H184" s="10">
        <v>1.5</v>
      </c>
      <c r="I184" s="9" t="s">
        <v>28</v>
      </c>
      <c r="J184" s="10">
        <v>302135.21000000002</v>
      </c>
      <c r="K184" s="9" t="s">
        <v>26</v>
      </c>
      <c r="L184" s="9">
        <v>5625</v>
      </c>
      <c r="M184" s="9" t="str">
        <f>""</f>
        <v/>
      </c>
      <c r="O184" s="9">
        <v>1</v>
      </c>
    </row>
    <row r="185" spans="1:18" x14ac:dyDescent="0.25">
      <c r="A185" s="9">
        <v>8003879954</v>
      </c>
      <c r="B185" s="9">
        <v>9</v>
      </c>
      <c r="C185" s="9">
        <v>6092017</v>
      </c>
      <c r="D185" s="9">
        <v>323</v>
      </c>
      <c r="E185" s="9" t="str">
        <f>"CLRG CHQ DR"</f>
        <v>CLRG CHQ DR</v>
      </c>
      <c r="F185" s="9">
        <v>0</v>
      </c>
      <c r="G185" s="9" t="str">
        <f>"00688024"</f>
        <v>00688024</v>
      </c>
      <c r="H185" s="10">
        <v>12316.14</v>
      </c>
      <c r="I185" s="9" t="s">
        <v>28</v>
      </c>
      <c r="J185" s="10">
        <v>302136.71000000002</v>
      </c>
      <c r="K185" s="9" t="s">
        <v>26</v>
      </c>
      <c r="L185" s="9">
        <v>5428</v>
      </c>
      <c r="M185" s="9" t="str">
        <f>""</f>
        <v/>
      </c>
      <c r="O185" s="9">
        <v>1</v>
      </c>
    </row>
    <row r="186" spans="1:18" x14ac:dyDescent="0.25">
      <c r="A186" s="9">
        <v>8003879954</v>
      </c>
      <c r="B186" s="9">
        <v>8</v>
      </c>
      <c r="C186" s="9">
        <v>6092017</v>
      </c>
      <c r="D186" s="9">
        <v>321</v>
      </c>
      <c r="E186" s="9" t="str">
        <f>"HOUSE CHQ DR"</f>
        <v>HOUSE CHQ DR</v>
      </c>
      <c r="F186" s="9">
        <v>0</v>
      </c>
      <c r="G186" s="9" t="str">
        <f>"00688023"</f>
        <v>00688023</v>
      </c>
      <c r="H186" s="10">
        <v>507.05</v>
      </c>
      <c r="I186" s="9" t="s">
        <v>28</v>
      </c>
      <c r="J186" s="10">
        <v>314452.84999999998</v>
      </c>
      <c r="K186" s="9" t="s">
        <v>26</v>
      </c>
      <c r="L186" s="9">
        <v>5428</v>
      </c>
      <c r="M186" s="9" t="str">
        <f>""</f>
        <v/>
      </c>
      <c r="O186" s="9">
        <v>1</v>
      </c>
    </row>
    <row r="187" spans="1:18" x14ac:dyDescent="0.25">
      <c r="A187" s="9">
        <v>8003879954</v>
      </c>
      <c r="B187" s="9">
        <v>7</v>
      </c>
      <c r="C187" s="9">
        <v>6092017</v>
      </c>
      <c r="D187" s="9">
        <v>321</v>
      </c>
      <c r="E187" s="9" t="str">
        <f>"HOUSE CHQ DR"</f>
        <v>HOUSE CHQ DR</v>
      </c>
      <c r="F187" s="9">
        <v>0</v>
      </c>
      <c r="G187" s="9" t="str">
        <f>"00688022"</f>
        <v>00688022</v>
      </c>
      <c r="H187" s="10">
        <v>888.75</v>
      </c>
      <c r="I187" s="9" t="s">
        <v>28</v>
      </c>
      <c r="J187" s="10">
        <v>314959.90000000002</v>
      </c>
      <c r="K187" s="9" t="s">
        <v>26</v>
      </c>
      <c r="L187" s="9">
        <v>5428</v>
      </c>
      <c r="M187" s="9" t="str">
        <f>""</f>
        <v/>
      </c>
      <c r="O187" s="9">
        <v>1</v>
      </c>
    </row>
    <row r="188" spans="1:18" x14ac:dyDescent="0.25">
      <c r="A188" s="9">
        <v>8003879954</v>
      </c>
      <c r="B188" s="9">
        <v>6</v>
      </c>
      <c r="C188" s="9">
        <v>6092017</v>
      </c>
      <c r="D188" s="9">
        <v>323</v>
      </c>
      <c r="E188" s="9" t="str">
        <f>"CLRG CHQ DR"</f>
        <v>CLRG CHQ DR</v>
      </c>
      <c r="F188" s="9">
        <v>0</v>
      </c>
      <c r="G188" s="9" t="str">
        <f>"00688021"</f>
        <v>00688021</v>
      </c>
      <c r="H188" s="10">
        <v>42182</v>
      </c>
      <c r="I188" s="9" t="s">
        <v>28</v>
      </c>
      <c r="J188" s="10">
        <v>315848.65000000002</v>
      </c>
      <c r="K188" s="9" t="s">
        <v>26</v>
      </c>
      <c r="L188" s="9">
        <v>5428</v>
      </c>
      <c r="M188" s="9" t="str">
        <f>""</f>
        <v/>
      </c>
      <c r="O188" s="9">
        <v>1</v>
      </c>
    </row>
    <row r="189" spans="1:18" x14ac:dyDescent="0.25">
      <c r="A189" s="9">
        <v>8003879954</v>
      </c>
      <c r="B189" s="9">
        <v>5</v>
      </c>
      <c r="C189" s="9">
        <v>6092017</v>
      </c>
      <c r="D189" s="9">
        <v>323</v>
      </c>
      <c r="E189" s="9" t="str">
        <f>"CLRG CHQ DR"</f>
        <v>CLRG CHQ DR</v>
      </c>
      <c r="F189" s="9">
        <v>0</v>
      </c>
      <c r="G189" s="9" t="str">
        <f>"00688020"</f>
        <v>00688020</v>
      </c>
      <c r="H189" s="10">
        <v>15731.54</v>
      </c>
      <c r="I189" s="9" t="s">
        <v>28</v>
      </c>
      <c r="J189" s="10">
        <v>358030.65</v>
      </c>
      <c r="K189" s="9" t="s">
        <v>26</v>
      </c>
      <c r="L189" s="9">
        <v>5428</v>
      </c>
      <c r="M189" s="9" t="str">
        <f>""</f>
        <v/>
      </c>
      <c r="O189" s="9">
        <v>1</v>
      </c>
    </row>
    <row r="190" spans="1:18" hidden="1" x14ac:dyDescent="0.25">
      <c r="A190" s="9">
        <v>8003879954</v>
      </c>
      <c r="B190" s="9">
        <v>4</v>
      </c>
      <c r="C190" s="9">
        <v>6092017</v>
      </c>
      <c r="D190" s="9">
        <v>174</v>
      </c>
      <c r="E190" s="9" t="str">
        <f>"IBG CREDIT"</f>
        <v>IBG CREDIT</v>
      </c>
      <c r="F190" s="9">
        <v>2001</v>
      </c>
      <c r="G190" s="9" t="str">
        <f>"117249710476836"</f>
        <v>117249710476836</v>
      </c>
      <c r="H190" s="10">
        <v>4000</v>
      </c>
      <c r="I190" s="9" t="s">
        <v>26</v>
      </c>
      <c r="J190" s="10">
        <v>373762.19</v>
      </c>
      <c r="K190" s="9" t="s">
        <v>26</v>
      </c>
      <c r="L190" s="9">
        <v>191357</v>
      </c>
      <c r="M190" s="9" t="str">
        <f>"IN0059/2017/OCY/MICH"</f>
        <v>IN0059/2017/OCY/MICH</v>
      </c>
      <c r="O190" s="9">
        <v>1</v>
      </c>
      <c r="P190" s="9" t="str">
        <f>"IN0059/2017/OCY/MICH"</f>
        <v>IN0059/2017/OCY/MICH</v>
      </c>
      <c r="Q190" s="9" t="str">
        <f>"STEPHEN WOODMANSEE"</f>
        <v>STEPHEN WOODMANSEE</v>
      </c>
      <c r="R190" s="9" t="str">
        <f>"CHEAH SOO HWA"</f>
        <v>CHEAH SOO HWA</v>
      </c>
    </row>
    <row r="191" spans="1:18" x14ac:dyDescent="0.25">
      <c r="A191" s="9">
        <v>8003879954</v>
      </c>
      <c r="B191" s="9">
        <v>3</v>
      </c>
      <c r="C191" s="9">
        <v>6092017</v>
      </c>
      <c r="D191" s="9">
        <v>299</v>
      </c>
      <c r="E191" s="9" t="s">
        <v>44</v>
      </c>
      <c r="F191" s="9">
        <v>72</v>
      </c>
      <c r="G191" s="9" t="str">
        <f>"206796436"</f>
        <v>206796436</v>
      </c>
      <c r="H191" s="10">
        <v>1.8</v>
      </c>
      <c r="I191" s="9" t="s">
        <v>28</v>
      </c>
      <c r="J191" s="10">
        <v>369762.19</v>
      </c>
      <c r="K191" s="9" t="s">
        <v>26</v>
      </c>
      <c r="L191" s="9">
        <v>170757</v>
      </c>
      <c r="M191" s="9" t="str">
        <f>"20008060917T0224"</f>
        <v>20008060917T0224</v>
      </c>
      <c r="O191" s="9">
        <v>1</v>
      </c>
    </row>
    <row r="192" spans="1:18" x14ac:dyDescent="0.25">
      <c r="A192" s="9">
        <v>8003879954</v>
      </c>
      <c r="B192" s="9">
        <v>2</v>
      </c>
      <c r="C192" s="9">
        <v>6092017</v>
      </c>
      <c r="D192" s="9">
        <v>415</v>
      </c>
      <c r="E192" s="9" t="str">
        <f>"TELEX/FAX"</f>
        <v>TELEX/FAX</v>
      </c>
      <c r="F192" s="9">
        <v>72</v>
      </c>
      <c r="G192" s="9" t="str">
        <f>"206796436"</f>
        <v>206796436</v>
      </c>
      <c r="H192" s="10">
        <v>30</v>
      </c>
      <c r="I192" s="9" t="s">
        <v>28</v>
      </c>
      <c r="J192" s="10">
        <v>369763.99</v>
      </c>
      <c r="K192" s="9" t="s">
        <v>26</v>
      </c>
      <c r="L192" s="9">
        <v>170757</v>
      </c>
      <c r="M192" s="9" t="str">
        <f>"20008060917T0224"</f>
        <v>20008060917T0224</v>
      </c>
      <c r="O192" s="9">
        <v>1</v>
      </c>
    </row>
    <row r="193" spans="1:17" x14ac:dyDescent="0.25">
      <c r="A193" s="9">
        <v>8003879954</v>
      </c>
      <c r="B193" s="9">
        <v>1</v>
      </c>
      <c r="C193" s="9">
        <v>6092017</v>
      </c>
      <c r="D193" s="9">
        <v>349</v>
      </c>
      <c r="E193" s="9" t="str">
        <f>"TR TO REMITT"</f>
        <v>TR TO REMITT</v>
      </c>
      <c r="F193" s="9">
        <v>72</v>
      </c>
      <c r="G193" s="9" t="str">
        <f>"206796436"</f>
        <v>206796436</v>
      </c>
      <c r="H193" s="10">
        <v>603.4</v>
      </c>
      <c r="I193" s="9" t="s">
        <v>28</v>
      </c>
      <c r="J193" s="10">
        <v>369793.99</v>
      </c>
      <c r="K193" s="9" t="s">
        <v>26</v>
      </c>
      <c r="L193" s="9">
        <v>170757</v>
      </c>
      <c r="M193" s="9" t="str">
        <f>"20008060917T0224"</f>
        <v>20008060917T0224</v>
      </c>
      <c r="O193" s="9">
        <v>1</v>
      </c>
    </row>
    <row r="194" spans="1:17" x14ac:dyDescent="0.25">
      <c r="A194" s="9">
        <v>8003879954</v>
      </c>
      <c r="B194" s="9">
        <v>1</v>
      </c>
      <c r="C194" s="9">
        <v>1092017</v>
      </c>
      <c r="D194" s="9">
        <v>60</v>
      </c>
      <c r="E194" s="9" t="str">
        <f>"TR TO C/A"</f>
        <v>TR TO C/A</v>
      </c>
      <c r="F194" s="9">
        <v>9938</v>
      </c>
      <c r="G194" s="9" t="str">
        <f>"20336004"</f>
        <v>20336004</v>
      </c>
      <c r="H194" s="10">
        <v>122</v>
      </c>
      <c r="I194" s="9" t="s">
        <v>28</v>
      </c>
      <c r="J194" s="10">
        <v>370397.39</v>
      </c>
      <c r="K194" s="9" t="s">
        <v>26</v>
      </c>
      <c r="L194" s="9">
        <v>83034</v>
      </c>
      <c r="M194" s="9" t="str">
        <f>"CP204 2017 AKAUN KJAAN MSIA PU"</f>
        <v>CP204 2017 AKAUN KJAAN MSIA PU</v>
      </c>
      <c r="O194" s="9">
        <v>1</v>
      </c>
      <c r="P194" s="9" t="str">
        <f>"PGTEFT2582"</f>
        <v>PGTEFT2582</v>
      </c>
      <c r="Q194" s="9" t="str">
        <f>"NO RUJ C285195105"</f>
        <v>NO RUJ C285195105</v>
      </c>
    </row>
    <row r="195" spans="1:17" hidden="1" x14ac:dyDescent="0.25"/>
    <row r="196" spans="1:17" hidden="1" x14ac:dyDescent="0.25"/>
    <row r="197" spans="1:17" hidden="1" x14ac:dyDescent="0.25"/>
    <row r="198" spans="1:17" hidden="1" x14ac:dyDescent="0.25"/>
    <row r="199" spans="1:17" hidden="1" x14ac:dyDescent="0.25"/>
    <row r="203" spans="1:17" x14ac:dyDescent="0.25">
      <c r="H203" s="10">
        <f>SUBTOTAL(9,H9:H202)</f>
        <v>715308.34000000043</v>
      </c>
    </row>
  </sheetData>
  <autoFilter ref="A7:R199">
    <filterColumn colId="8">
      <filters>
        <filter val="D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2"/>
  <sheetViews>
    <sheetView workbookViewId="0">
      <selection activeCell="E27" sqref="E27"/>
    </sheetView>
  </sheetViews>
  <sheetFormatPr defaultRowHeight="15" x14ac:dyDescent="0.25"/>
  <cols>
    <col min="1" max="1" width="11" style="9" bestFit="1" customWidth="1"/>
    <col min="2" max="4" width="9.140625" style="9"/>
    <col min="5" max="5" width="29.5703125" style="9" bestFit="1" customWidth="1"/>
    <col min="6" max="6" width="9.140625" style="9"/>
    <col min="7" max="7" width="21.5703125" style="9" customWidth="1"/>
    <col min="8" max="8" width="14" style="10" customWidth="1"/>
    <col min="9" max="9" width="9.140625" style="9"/>
    <col min="10" max="10" width="13.28515625" style="10" bestFit="1" customWidth="1"/>
    <col min="11" max="11" width="11.5703125" style="9" bestFit="1" customWidth="1"/>
    <col min="12" max="12" width="9.140625" style="9"/>
    <col min="13" max="13" width="47.7109375" style="9" bestFit="1" customWidth="1"/>
    <col min="14" max="16" width="9.140625" style="9"/>
    <col min="17" max="17" width="23.7109375" style="9" bestFit="1" customWidth="1"/>
    <col min="18" max="16384" width="9.140625" style="9"/>
  </cols>
  <sheetData>
    <row r="1" spans="1:18" s="13" customFormat="1" x14ac:dyDescent="0.25">
      <c r="A1" s="13" t="s">
        <v>0</v>
      </c>
      <c r="H1" s="14"/>
      <c r="J1" s="14"/>
    </row>
    <row r="2" spans="1:18" s="13" customFormat="1" x14ac:dyDescent="0.25">
      <c r="A2" s="13" t="s">
        <v>1</v>
      </c>
      <c r="B2" s="13" t="s">
        <v>2</v>
      </c>
      <c r="H2" s="14"/>
      <c r="J2" s="14"/>
    </row>
    <row r="3" spans="1:18" s="13" customFormat="1" x14ac:dyDescent="0.25">
      <c r="A3" s="13" t="s">
        <v>3</v>
      </c>
      <c r="H3" s="14"/>
      <c r="J3" s="14"/>
    </row>
    <row r="4" spans="1:18" s="13" customFormat="1" x14ac:dyDescent="0.25">
      <c r="A4" s="13" t="s">
        <v>1100</v>
      </c>
      <c r="H4" s="14"/>
      <c r="J4" s="14"/>
    </row>
    <row r="5" spans="1:18" s="13" customFormat="1" x14ac:dyDescent="0.25">
      <c r="A5" s="13" t="s">
        <v>1101</v>
      </c>
      <c r="H5" s="14"/>
      <c r="J5" s="14"/>
    </row>
    <row r="6" spans="1:18" s="13" customFormat="1" x14ac:dyDescent="0.25">
      <c r="A6" s="13" t="s">
        <v>1102</v>
      </c>
      <c r="H6" s="14"/>
      <c r="J6" s="14"/>
    </row>
    <row r="7" spans="1:18" s="13" customFormat="1" x14ac:dyDescent="0.25">
      <c r="H7" s="14"/>
      <c r="J7" s="14"/>
    </row>
    <row r="8" spans="1:18" s="13" customFormat="1" x14ac:dyDescent="0.25">
      <c r="A8" s="13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12</v>
      </c>
      <c r="G8" s="13" t="s">
        <v>13</v>
      </c>
      <c r="H8" s="14" t="s">
        <v>14</v>
      </c>
      <c r="I8" s="13" t="s">
        <v>15</v>
      </c>
      <c r="J8" s="14" t="s">
        <v>16</v>
      </c>
      <c r="K8" s="13" t="s">
        <v>17</v>
      </c>
      <c r="L8" s="13" t="s">
        <v>18</v>
      </c>
      <c r="M8" s="13" t="s">
        <v>19</v>
      </c>
      <c r="N8" s="13" t="s">
        <v>20</v>
      </c>
      <c r="O8" s="13" t="s">
        <v>21</v>
      </c>
      <c r="P8" s="13" t="s">
        <v>22</v>
      </c>
      <c r="Q8" s="13" t="s">
        <v>23</v>
      </c>
      <c r="R8" s="13" t="s">
        <v>24</v>
      </c>
    </row>
    <row r="9" spans="1:18" s="13" customFormat="1" x14ac:dyDescent="0.25">
      <c r="H9" s="14"/>
      <c r="J9" s="14"/>
    </row>
    <row r="10" spans="1:18" s="13" customFormat="1" x14ac:dyDescent="0.25">
      <c r="A10" s="13">
        <v>8003879954</v>
      </c>
      <c r="B10" s="13">
        <v>3</v>
      </c>
      <c r="C10" s="13">
        <v>31102017</v>
      </c>
      <c r="D10" s="13">
        <v>299</v>
      </c>
      <c r="E10" s="13" t="str">
        <f>"GST"</f>
        <v>GST</v>
      </c>
      <c r="F10" s="13">
        <v>3471</v>
      </c>
      <c r="G10" s="13" t="str">
        <f>"02615043"</f>
        <v>02615043</v>
      </c>
      <c r="H10" s="14">
        <v>2.16</v>
      </c>
      <c r="I10" s="13" t="s">
        <v>28</v>
      </c>
      <c r="J10" s="14">
        <v>492155.54</v>
      </c>
      <c r="K10" s="13" t="s">
        <v>26</v>
      </c>
      <c r="L10" s="13">
        <v>55023</v>
      </c>
      <c r="M10" s="13" t="str">
        <f>""</f>
        <v/>
      </c>
      <c r="O10" s="13">
        <v>1</v>
      </c>
    </row>
    <row r="11" spans="1:18" s="13" customFormat="1" x14ac:dyDescent="0.25">
      <c r="A11" s="13">
        <v>8003879954</v>
      </c>
      <c r="B11" s="13">
        <v>2</v>
      </c>
      <c r="C11" s="13">
        <v>31102017</v>
      </c>
      <c r="D11" s="13">
        <v>489</v>
      </c>
      <c r="E11" s="13" t="str">
        <f>"AUTOPAY CHARGES"</f>
        <v>AUTOPAY CHARGES</v>
      </c>
      <c r="F11" s="13">
        <v>3471</v>
      </c>
      <c r="G11" s="13" t="str">
        <f>"02615043"</f>
        <v>02615043</v>
      </c>
      <c r="H11" s="14">
        <v>36</v>
      </c>
      <c r="I11" s="13" t="s">
        <v>28</v>
      </c>
      <c r="J11" s="14">
        <v>492157.7</v>
      </c>
      <c r="K11" s="13" t="s">
        <v>26</v>
      </c>
      <c r="L11" s="13">
        <v>55023</v>
      </c>
      <c r="M11" s="13" t="str">
        <f>""</f>
        <v/>
      </c>
      <c r="O11" s="13">
        <v>1</v>
      </c>
    </row>
    <row r="12" spans="1:18" s="13" customFormat="1" x14ac:dyDescent="0.25">
      <c r="A12" s="13">
        <v>8003879954</v>
      </c>
      <c r="B12" s="13">
        <v>1</v>
      </c>
      <c r="C12" s="13">
        <v>31102017</v>
      </c>
      <c r="D12" s="13">
        <v>669</v>
      </c>
      <c r="E12" s="13" t="str">
        <f>"AUTOPAY DR"</f>
        <v>AUTOPAY DR</v>
      </c>
      <c r="F12" s="13">
        <v>3471</v>
      </c>
      <c r="G12" s="13" t="str">
        <f>"02594206"</f>
        <v>02594206</v>
      </c>
      <c r="H12" s="14">
        <v>79632.03</v>
      </c>
      <c r="I12" s="13" t="s">
        <v>28</v>
      </c>
      <c r="J12" s="14">
        <v>492193.7</v>
      </c>
      <c r="K12" s="13" t="s">
        <v>26</v>
      </c>
      <c r="L12" s="13">
        <v>44154</v>
      </c>
      <c r="M12" s="13" t="str">
        <f>"U2017102602173 BCBB-Encrypted.dat"</f>
        <v>U2017102602173 BCBB-Encrypted.dat</v>
      </c>
      <c r="O12" s="13">
        <v>1</v>
      </c>
      <c r="P12" s="13" t="str">
        <f>"347102594206"</f>
        <v>347102594206</v>
      </c>
      <c r="R12" s="13" t="str">
        <f>"/"</f>
        <v>/</v>
      </c>
    </row>
    <row r="13" spans="1:18" s="13" customFormat="1" x14ac:dyDescent="0.25">
      <c r="A13" s="13">
        <v>8003879954</v>
      </c>
      <c r="B13" s="13">
        <v>3</v>
      </c>
      <c r="C13" s="13">
        <v>30102017</v>
      </c>
      <c r="D13" s="13">
        <v>5</v>
      </c>
      <c r="E13" s="13" t="str">
        <f>"REMITTANCE CR"</f>
        <v>REMITTANCE CR</v>
      </c>
      <c r="H13" s="14">
        <v>400000</v>
      </c>
      <c r="I13" s="13" t="s">
        <v>26</v>
      </c>
      <c r="J13" s="14">
        <v>571825.73</v>
      </c>
      <c r="K13" s="13" t="s">
        <v>26</v>
      </c>
      <c r="L13" s="13">
        <v>163251</v>
      </c>
      <c r="M13" s="13" t="str">
        <f>"/ROC/KLMP0023156RES RHB ASSET MANAGEMENT"</f>
        <v>/ROC/KLMP0023156RES RHB ASSET MANAGEMENT</v>
      </c>
      <c r="O13" s="13">
        <v>1</v>
      </c>
      <c r="P13" s="13" t="str">
        <f>"KLMP0023156"</f>
        <v>KLMP0023156</v>
      </c>
      <c r="Q13" s="13" t="str">
        <f>"RESIDENT"</f>
        <v>RESIDENT</v>
      </c>
      <c r="R13" s="13" t="str">
        <f>"RHB ASSET MANAGEMENT"</f>
        <v>RHB ASSET MANAGEMENT</v>
      </c>
    </row>
    <row r="14" spans="1:18" s="13" customFormat="1" x14ac:dyDescent="0.25">
      <c r="A14" s="13">
        <v>8003879954</v>
      </c>
      <c r="B14" s="13">
        <v>2</v>
      </c>
      <c r="C14" s="13">
        <v>30102017</v>
      </c>
      <c r="D14" s="13">
        <v>540</v>
      </c>
      <c r="E14" s="13" t="str">
        <f>"ATM OPEN TRANSFER FROM SA"</f>
        <v>ATM OPEN TRANSFER FROM SA</v>
      </c>
      <c r="F14" s="13">
        <v>1408</v>
      </c>
      <c r="G14" s="13" t="str">
        <f>"FS355412"</f>
        <v>FS355412</v>
      </c>
      <c r="H14" s="14">
        <v>172</v>
      </c>
      <c r="I14" s="13" t="s">
        <v>26</v>
      </c>
      <c r="J14" s="14">
        <v>171825.73</v>
      </c>
      <c r="K14" s="13" t="s">
        <v>26</v>
      </c>
      <c r="L14" s="13">
        <v>135340</v>
      </c>
      <c r="M14" s="13" t="str">
        <f>""</f>
        <v/>
      </c>
      <c r="O14" s="13">
        <v>1</v>
      </c>
    </row>
    <row r="15" spans="1:18" s="13" customFormat="1" x14ac:dyDescent="0.25">
      <c r="A15" s="13">
        <v>8003879954</v>
      </c>
      <c r="B15" s="13">
        <v>1</v>
      </c>
      <c r="C15" s="13">
        <v>30102017</v>
      </c>
      <c r="D15" s="13">
        <v>174</v>
      </c>
      <c r="E15" s="13" t="str">
        <f>"IBG CREDIT"</f>
        <v>IBG CREDIT</v>
      </c>
      <c r="F15" s="13">
        <v>2001</v>
      </c>
      <c r="G15" s="13" t="str">
        <f>"817303710856649"</f>
        <v>817303710856649</v>
      </c>
      <c r="H15" s="14">
        <v>3000</v>
      </c>
      <c r="I15" s="13" t="s">
        <v>26</v>
      </c>
      <c r="J15" s="14">
        <v>171653.73</v>
      </c>
      <c r="K15" s="13" t="s">
        <v>26</v>
      </c>
      <c r="L15" s="13">
        <v>121252</v>
      </c>
      <c r="M15" s="13" t="str">
        <f>"BNF/ /RFB/6068355S23"</f>
        <v>BNF/ /RFB/6068355S23</v>
      </c>
      <c r="O15" s="13">
        <v>1</v>
      </c>
      <c r="P15" s="13" t="str">
        <f>"BNF/ /RFB/6068355S23"</f>
        <v>BNF/ /RFB/6068355S23</v>
      </c>
      <c r="Q15" s="13" t="str">
        <f>"VENT BOOKING TEL 604"</f>
        <v>VENT BOOKING TEL 604</v>
      </c>
      <c r="R15" s="13" t="str">
        <f>"BOURNEMOUTH UNIVERSI"</f>
        <v>BOURNEMOUTH UNIVERSI</v>
      </c>
    </row>
    <row r="16" spans="1:18" s="13" customFormat="1" x14ac:dyDescent="0.25">
      <c r="A16" s="13">
        <v>8003879954</v>
      </c>
      <c r="B16" s="13">
        <v>5</v>
      </c>
      <c r="C16" s="13">
        <v>27102017</v>
      </c>
      <c r="D16" s="13">
        <v>299</v>
      </c>
      <c r="E16" s="13" t="str">
        <f>"GST"</f>
        <v>GST</v>
      </c>
      <c r="H16" s="14">
        <v>0.06</v>
      </c>
      <c r="I16" s="13" t="s">
        <v>28</v>
      </c>
      <c r="J16" s="14">
        <v>168653.73</v>
      </c>
      <c r="K16" s="13" t="s">
        <v>26</v>
      </c>
      <c r="L16" s="13">
        <v>5303</v>
      </c>
      <c r="M16" s="13" t="str">
        <f>""</f>
        <v/>
      </c>
      <c r="O16" s="13">
        <v>1</v>
      </c>
    </row>
    <row r="17" spans="1:18" s="13" customFormat="1" x14ac:dyDescent="0.25">
      <c r="A17" s="13">
        <v>8003879954</v>
      </c>
      <c r="B17" s="13">
        <v>4</v>
      </c>
      <c r="C17" s="13">
        <v>27102017</v>
      </c>
      <c r="D17" s="13">
        <v>819</v>
      </c>
      <c r="E17" s="13" t="str">
        <f>"CHQ PROCESSING FEE"</f>
        <v>CHQ PROCESSING FEE</v>
      </c>
      <c r="H17" s="14">
        <v>1</v>
      </c>
      <c r="I17" s="13" t="s">
        <v>28</v>
      </c>
      <c r="J17" s="14">
        <v>168653.79</v>
      </c>
      <c r="K17" s="13" t="s">
        <v>26</v>
      </c>
      <c r="L17" s="13">
        <v>5303</v>
      </c>
      <c r="M17" s="13" t="str">
        <f>""</f>
        <v/>
      </c>
      <c r="O17" s="13">
        <v>1</v>
      </c>
    </row>
    <row r="18" spans="1:18" s="13" customFormat="1" x14ac:dyDescent="0.25">
      <c r="A18" s="13">
        <v>8003879954</v>
      </c>
      <c r="B18" s="13">
        <v>3</v>
      </c>
      <c r="C18" s="13">
        <v>27102017</v>
      </c>
      <c r="D18" s="13">
        <v>323</v>
      </c>
      <c r="E18" s="13" t="str">
        <f>"CLRG CHQ DR"</f>
        <v>CLRG CHQ DR</v>
      </c>
      <c r="F18" s="13">
        <v>0</v>
      </c>
      <c r="G18" s="13" t="str">
        <f>"00688053"</f>
        <v>00688053</v>
      </c>
      <c r="H18" s="14">
        <v>213985.33</v>
      </c>
      <c r="I18" s="13" t="s">
        <v>28</v>
      </c>
      <c r="J18" s="14">
        <v>168654.79</v>
      </c>
      <c r="K18" s="13" t="s">
        <v>26</v>
      </c>
      <c r="L18" s="13">
        <v>5214</v>
      </c>
      <c r="M18" s="13" t="str">
        <f>""</f>
        <v/>
      </c>
      <c r="O18" s="13">
        <v>1</v>
      </c>
    </row>
    <row r="19" spans="1:18" s="13" customFormat="1" x14ac:dyDescent="0.25">
      <c r="A19" s="13">
        <v>8003879954</v>
      </c>
      <c r="B19" s="13">
        <v>2</v>
      </c>
      <c r="C19" s="13">
        <v>27102017</v>
      </c>
      <c r="D19" s="13">
        <v>323</v>
      </c>
      <c r="E19" s="13" t="str">
        <f>"CLRG CHQ DR"</f>
        <v>CLRG CHQ DR</v>
      </c>
      <c r="F19" s="13">
        <v>0</v>
      </c>
      <c r="G19" s="13" t="str">
        <f>"00688052"</f>
        <v>00688052</v>
      </c>
      <c r="H19" s="14">
        <v>93870</v>
      </c>
      <c r="I19" s="13" t="s">
        <v>28</v>
      </c>
      <c r="J19" s="14">
        <v>382640.12</v>
      </c>
      <c r="K19" s="13" t="s">
        <v>26</v>
      </c>
      <c r="L19" s="13">
        <v>5214</v>
      </c>
      <c r="M19" s="13" t="str">
        <f>""</f>
        <v/>
      </c>
      <c r="O19" s="13">
        <v>1</v>
      </c>
    </row>
    <row r="20" spans="1:18" s="13" customFormat="1" x14ac:dyDescent="0.25">
      <c r="A20" s="13">
        <v>8003879954</v>
      </c>
      <c r="B20" s="13">
        <v>1</v>
      </c>
      <c r="C20" s="13">
        <v>27102017</v>
      </c>
      <c r="D20" s="13">
        <v>345</v>
      </c>
      <c r="E20" s="13" t="str">
        <f>"TR TO SAVINGS"</f>
        <v>TR TO SAVINGS</v>
      </c>
      <c r="F20" s="13">
        <v>9938</v>
      </c>
      <c r="G20" s="13" t="str">
        <f>"22332840"</f>
        <v>22332840</v>
      </c>
      <c r="H20" s="14">
        <v>9750</v>
      </c>
      <c r="I20" s="13" t="s">
        <v>28</v>
      </c>
      <c r="J20" s="14">
        <v>476510.12</v>
      </c>
      <c r="K20" s="13" t="s">
        <v>26</v>
      </c>
      <c r="L20" s="13">
        <v>193221</v>
      </c>
      <c r="M20" s="13" t="str">
        <f>"PG PROMOTIONAL VIDEO MOHD IZUDDIN HELMI"</f>
        <v>PG PROMOTIONAL VIDEO MOHD IZUDDIN HELMI</v>
      </c>
      <c r="O20" s="13">
        <v>1</v>
      </c>
      <c r="P20" s="13" t="str">
        <f>"PGTEFT2709"</f>
        <v>PGTEFT2709</v>
      </c>
      <c r="Q20" s="13" t="str">
        <f>"INV001"</f>
        <v>INV001</v>
      </c>
    </row>
    <row r="21" spans="1:18" s="13" customFormat="1" x14ac:dyDescent="0.25">
      <c r="A21" s="13">
        <v>8003879954</v>
      </c>
      <c r="B21" s="13">
        <v>6</v>
      </c>
      <c r="C21" s="13">
        <v>26102017</v>
      </c>
      <c r="D21" s="13">
        <v>299</v>
      </c>
      <c r="E21" s="13" t="s">
        <v>44</v>
      </c>
      <c r="F21" s="13">
        <v>72</v>
      </c>
      <c r="G21" s="13" t="s">
        <v>1221</v>
      </c>
      <c r="H21" s="14">
        <v>1.8</v>
      </c>
      <c r="I21" s="13" t="s">
        <v>28</v>
      </c>
      <c r="J21" s="14">
        <v>486260.12</v>
      </c>
      <c r="K21" s="13" t="s">
        <v>26</v>
      </c>
      <c r="L21" s="13">
        <v>153943</v>
      </c>
      <c r="M21" s="13" t="s">
        <v>1222</v>
      </c>
      <c r="O21" s="13">
        <v>1</v>
      </c>
    </row>
    <row r="22" spans="1:18" s="13" customFormat="1" x14ac:dyDescent="0.25">
      <c r="A22" s="13">
        <v>8003879954</v>
      </c>
      <c r="B22" s="13">
        <v>5</v>
      </c>
      <c r="C22" s="13">
        <v>26102017</v>
      </c>
      <c r="D22" s="13">
        <v>415</v>
      </c>
      <c r="E22" s="13" t="s">
        <v>34</v>
      </c>
      <c r="F22" s="13">
        <v>72</v>
      </c>
      <c r="G22" s="13" t="s">
        <v>1221</v>
      </c>
      <c r="H22" s="14">
        <v>30</v>
      </c>
      <c r="I22" s="13" t="s">
        <v>28</v>
      </c>
      <c r="J22" s="14">
        <v>486261.92</v>
      </c>
      <c r="K22" s="13" t="s">
        <v>26</v>
      </c>
      <c r="L22" s="13">
        <v>153943</v>
      </c>
      <c r="M22" s="13" t="s">
        <v>1222</v>
      </c>
      <c r="O22" s="13">
        <v>1</v>
      </c>
    </row>
    <row r="23" spans="1:18" s="13" customFormat="1" x14ac:dyDescent="0.25">
      <c r="A23" s="13">
        <v>8003879954</v>
      </c>
      <c r="B23" s="13">
        <v>4</v>
      </c>
      <c r="C23" s="13">
        <v>26102017</v>
      </c>
      <c r="D23" s="13">
        <v>349</v>
      </c>
      <c r="E23" s="13" t="s">
        <v>35</v>
      </c>
      <c r="F23" s="13">
        <v>72</v>
      </c>
      <c r="G23" s="13" t="s">
        <v>1221</v>
      </c>
      <c r="H23" s="14">
        <v>33142</v>
      </c>
      <c r="I23" s="13" t="s">
        <v>28</v>
      </c>
      <c r="J23" s="14">
        <v>486291.92</v>
      </c>
      <c r="K23" s="13" t="s">
        <v>26</v>
      </c>
      <c r="L23" s="13">
        <v>153943</v>
      </c>
      <c r="M23" s="13" t="s">
        <v>1222</v>
      </c>
      <c r="O23" s="13">
        <v>1</v>
      </c>
    </row>
    <row r="24" spans="1:18" s="13" customFormat="1" x14ac:dyDescent="0.25">
      <c r="A24" s="13">
        <v>8003879954</v>
      </c>
      <c r="B24" s="13">
        <v>3</v>
      </c>
      <c r="C24" s="13">
        <v>26102017</v>
      </c>
      <c r="D24" s="13">
        <v>299</v>
      </c>
      <c r="E24" s="13" t="s">
        <v>44</v>
      </c>
      <c r="F24" s="13">
        <v>72</v>
      </c>
      <c r="G24" s="13" t="s">
        <v>1223</v>
      </c>
      <c r="H24" s="14">
        <v>0.6</v>
      </c>
      <c r="I24" s="13" t="s">
        <v>28</v>
      </c>
      <c r="J24" s="14">
        <v>519433.92</v>
      </c>
      <c r="K24" s="13" t="s">
        <v>26</v>
      </c>
      <c r="L24" s="13">
        <v>144804</v>
      </c>
      <c r="M24" s="13" t="s">
        <v>1224</v>
      </c>
      <c r="O24" s="13">
        <v>1</v>
      </c>
    </row>
    <row r="25" spans="1:18" s="13" customFormat="1" x14ac:dyDescent="0.25">
      <c r="A25" s="13">
        <v>8003879954</v>
      </c>
      <c r="B25" s="13">
        <v>2</v>
      </c>
      <c r="C25" s="13">
        <v>26102017</v>
      </c>
      <c r="D25" s="13">
        <v>415</v>
      </c>
      <c r="E25" s="13" t="s">
        <v>34</v>
      </c>
      <c r="F25" s="13">
        <v>72</v>
      </c>
      <c r="G25" s="13" t="s">
        <v>1223</v>
      </c>
      <c r="H25" s="14">
        <v>10</v>
      </c>
      <c r="I25" s="13" t="s">
        <v>28</v>
      </c>
      <c r="J25" s="14">
        <v>519434.52</v>
      </c>
      <c r="K25" s="13" t="s">
        <v>26</v>
      </c>
      <c r="L25" s="13">
        <v>144804</v>
      </c>
      <c r="M25" s="13" t="s">
        <v>1224</v>
      </c>
      <c r="O25" s="13">
        <v>1</v>
      </c>
    </row>
    <row r="26" spans="1:18" s="13" customFormat="1" x14ac:dyDescent="0.25">
      <c r="A26" s="13">
        <v>8003879954</v>
      </c>
      <c r="B26" s="13">
        <v>1</v>
      </c>
      <c r="C26" s="13">
        <v>26102017</v>
      </c>
      <c r="D26" s="13">
        <v>349</v>
      </c>
      <c r="E26" s="13" t="s">
        <v>35</v>
      </c>
      <c r="F26" s="13">
        <v>72</v>
      </c>
      <c r="G26" s="13" t="s">
        <v>1223</v>
      </c>
      <c r="H26" s="14">
        <v>12775.73</v>
      </c>
      <c r="I26" s="13" t="s">
        <v>28</v>
      </c>
      <c r="J26" s="14">
        <v>519444.52</v>
      </c>
      <c r="K26" s="13" t="s">
        <v>26</v>
      </c>
      <c r="L26" s="13">
        <v>144804</v>
      </c>
      <c r="M26" s="13" t="s">
        <v>1224</v>
      </c>
      <c r="O26" s="13">
        <v>1</v>
      </c>
    </row>
    <row r="27" spans="1:18" s="13" customFormat="1" x14ac:dyDescent="0.25">
      <c r="A27" s="13">
        <v>8003879954</v>
      </c>
      <c r="B27" s="13">
        <v>6</v>
      </c>
      <c r="C27" s="13">
        <v>25102017</v>
      </c>
      <c r="D27" s="13">
        <v>299</v>
      </c>
      <c r="E27" s="13" t="s">
        <v>30</v>
      </c>
      <c r="H27" s="14">
        <v>0.03</v>
      </c>
      <c r="I27" s="13" t="s">
        <v>28</v>
      </c>
      <c r="J27" s="14">
        <v>532220.25</v>
      </c>
      <c r="K27" s="13" t="s">
        <v>26</v>
      </c>
      <c r="L27" s="13">
        <v>5638</v>
      </c>
      <c r="M27" s="13" t="s">
        <v>53</v>
      </c>
      <c r="O27" s="13">
        <v>1</v>
      </c>
    </row>
    <row r="28" spans="1:18" s="13" customFormat="1" x14ac:dyDescent="0.25">
      <c r="A28" s="13">
        <v>8003879954</v>
      </c>
      <c r="B28" s="13">
        <v>5</v>
      </c>
      <c r="C28" s="13">
        <v>25102017</v>
      </c>
      <c r="D28" s="13">
        <v>819</v>
      </c>
      <c r="E28" s="13" t="s">
        <v>32</v>
      </c>
      <c r="H28" s="14">
        <v>0.5</v>
      </c>
      <c r="I28" s="13" t="s">
        <v>28</v>
      </c>
      <c r="J28" s="14">
        <v>532220.28</v>
      </c>
      <c r="K28" s="13" t="s">
        <v>26</v>
      </c>
      <c r="L28" s="13">
        <v>5638</v>
      </c>
      <c r="M28" s="13" t="s">
        <v>53</v>
      </c>
      <c r="O28" s="13">
        <v>1</v>
      </c>
    </row>
    <row r="29" spans="1:18" s="13" customFormat="1" x14ac:dyDescent="0.25">
      <c r="A29" s="13">
        <v>8003879954</v>
      </c>
      <c r="B29" s="13">
        <v>4</v>
      </c>
      <c r="C29" s="13">
        <v>25102017</v>
      </c>
      <c r="D29" s="13">
        <v>321</v>
      </c>
      <c r="E29" s="13" t="s">
        <v>37</v>
      </c>
      <c r="F29" s="13">
        <v>0</v>
      </c>
      <c r="G29" s="13" t="s">
        <v>1225</v>
      </c>
      <c r="H29" s="14">
        <v>39381.19</v>
      </c>
      <c r="I29" s="13" t="s">
        <v>28</v>
      </c>
      <c r="J29" s="14">
        <v>532220.78</v>
      </c>
      <c r="K29" s="13" t="s">
        <v>26</v>
      </c>
      <c r="L29" s="13">
        <v>5542</v>
      </c>
      <c r="M29" s="13" t="s">
        <v>53</v>
      </c>
      <c r="O29" s="13">
        <v>1</v>
      </c>
    </row>
    <row r="30" spans="1:18" s="13" customFormat="1" x14ac:dyDescent="0.25">
      <c r="A30" s="13">
        <v>8003879954</v>
      </c>
      <c r="B30" s="13">
        <v>3</v>
      </c>
      <c r="C30" s="13">
        <v>25102017</v>
      </c>
      <c r="D30" s="13">
        <v>123</v>
      </c>
      <c r="E30" s="13" t="s">
        <v>38</v>
      </c>
      <c r="F30" s="13">
        <v>2007</v>
      </c>
      <c r="G30" s="13" t="s">
        <v>1226</v>
      </c>
      <c r="H30" s="14">
        <v>1300</v>
      </c>
      <c r="I30" s="13" t="s">
        <v>26</v>
      </c>
      <c r="J30" s="14">
        <v>571601.97</v>
      </c>
      <c r="K30" s="13" t="s">
        <v>26</v>
      </c>
      <c r="L30" s="13">
        <v>192137</v>
      </c>
      <c r="M30" s="13" t="s">
        <v>53</v>
      </c>
      <c r="O30" s="13">
        <v>1</v>
      </c>
    </row>
    <row r="31" spans="1:18" s="13" customFormat="1" x14ac:dyDescent="0.25">
      <c r="A31" s="13">
        <v>8003879954</v>
      </c>
      <c r="B31" s="13">
        <v>2</v>
      </c>
      <c r="C31" s="13">
        <v>25102017</v>
      </c>
      <c r="D31" s="13">
        <v>123</v>
      </c>
      <c r="E31" s="13" t="s">
        <v>38</v>
      </c>
      <c r="F31" s="13">
        <v>2007</v>
      </c>
      <c r="G31" s="13" t="s">
        <v>1227</v>
      </c>
      <c r="H31" s="14">
        <v>2000</v>
      </c>
      <c r="I31" s="13" t="s">
        <v>26</v>
      </c>
      <c r="J31" s="14">
        <v>570301.97</v>
      </c>
      <c r="K31" s="13" t="s">
        <v>26</v>
      </c>
      <c r="L31" s="13">
        <v>145452</v>
      </c>
      <c r="M31" s="13" t="s">
        <v>1228</v>
      </c>
      <c r="O31" s="13">
        <v>1</v>
      </c>
    </row>
    <row r="32" spans="1:18" s="13" customFormat="1" x14ac:dyDescent="0.25">
      <c r="A32" s="13">
        <v>8003879954</v>
      </c>
      <c r="B32" s="13">
        <v>1</v>
      </c>
      <c r="C32" s="13">
        <v>25102017</v>
      </c>
      <c r="D32" s="13">
        <v>5</v>
      </c>
      <c r="E32" s="13" t="s">
        <v>42</v>
      </c>
      <c r="H32" s="14">
        <v>300000</v>
      </c>
      <c r="I32" s="13" t="s">
        <v>26</v>
      </c>
      <c r="J32" s="14">
        <v>568301.97</v>
      </c>
      <c r="K32" s="13" t="s">
        <v>26</v>
      </c>
      <c r="L32" s="13">
        <v>143133</v>
      </c>
      <c r="M32" s="13" t="s">
        <v>1229</v>
      </c>
      <c r="O32" s="13">
        <v>1</v>
      </c>
      <c r="P32" s="13" t="s">
        <v>1230</v>
      </c>
      <c r="Q32" s="13" t="s">
        <v>59</v>
      </c>
      <c r="R32" s="13" t="s">
        <v>60</v>
      </c>
    </row>
    <row r="33" spans="1:17" s="13" customFormat="1" x14ac:dyDescent="0.25">
      <c r="A33" s="13">
        <v>8003879954</v>
      </c>
      <c r="B33" s="13">
        <v>6</v>
      </c>
      <c r="C33" s="13">
        <v>24102017</v>
      </c>
      <c r="D33" s="13">
        <v>299</v>
      </c>
      <c r="E33" s="13" t="s">
        <v>44</v>
      </c>
      <c r="F33" s="13">
        <v>72</v>
      </c>
      <c r="G33" s="13" t="s">
        <v>1231</v>
      </c>
      <c r="H33" s="14">
        <v>0.6</v>
      </c>
      <c r="I33" s="13" t="s">
        <v>28</v>
      </c>
      <c r="J33" s="14">
        <v>268301.96999999997</v>
      </c>
      <c r="K33" s="13" t="s">
        <v>26</v>
      </c>
      <c r="L33" s="13">
        <v>185401</v>
      </c>
      <c r="M33" s="13" t="s">
        <v>1232</v>
      </c>
      <c r="O33" s="13">
        <v>1</v>
      </c>
    </row>
    <row r="34" spans="1:17" s="13" customFormat="1" x14ac:dyDescent="0.25">
      <c r="A34" s="13">
        <v>8003879954</v>
      </c>
      <c r="B34" s="13">
        <v>5</v>
      </c>
      <c r="C34" s="13">
        <v>24102017</v>
      </c>
      <c r="D34" s="13">
        <v>415</v>
      </c>
      <c r="E34" s="13" t="s">
        <v>34</v>
      </c>
      <c r="F34" s="13">
        <v>72</v>
      </c>
      <c r="G34" s="13" t="s">
        <v>1231</v>
      </c>
      <c r="H34" s="14">
        <v>10</v>
      </c>
      <c r="I34" s="13" t="s">
        <v>28</v>
      </c>
      <c r="J34" s="14">
        <v>268302.57</v>
      </c>
      <c r="K34" s="13" t="s">
        <v>26</v>
      </c>
      <c r="L34" s="13">
        <v>185401</v>
      </c>
      <c r="M34" s="13" t="s">
        <v>1232</v>
      </c>
      <c r="O34" s="13">
        <v>1</v>
      </c>
    </row>
    <row r="35" spans="1:17" s="13" customFormat="1" x14ac:dyDescent="0.25">
      <c r="A35" s="13">
        <v>8003879954</v>
      </c>
      <c r="B35" s="13">
        <v>4</v>
      </c>
      <c r="C35" s="13">
        <v>24102017</v>
      </c>
      <c r="D35" s="13">
        <v>349</v>
      </c>
      <c r="E35" s="13" t="s">
        <v>35</v>
      </c>
      <c r="F35" s="13">
        <v>72</v>
      </c>
      <c r="G35" s="13" t="s">
        <v>1231</v>
      </c>
      <c r="H35" s="14">
        <v>37496.06</v>
      </c>
      <c r="I35" s="13" t="s">
        <v>28</v>
      </c>
      <c r="J35" s="14">
        <v>268312.57</v>
      </c>
      <c r="K35" s="13" t="s">
        <v>26</v>
      </c>
      <c r="L35" s="13">
        <v>185401</v>
      </c>
      <c r="M35" s="13" t="s">
        <v>1232</v>
      </c>
      <c r="O35" s="13">
        <v>1</v>
      </c>
    </row>
    <row r="36" spans="1:17" s="13" customFormat="1" x14ac:dyDescent="0.25">
      <c r="A36" s="13">
        <v>8003879954</v>
      </c>
      <c r="B36" s="13">
        <v>3</v>
      </c>
      <c r="C36" s="13">
        <v>24102017</v>
      </c>
      <c r="D36" s="13">
        <v>299</v>
      </c>
      <c r="E36" s="13" t="s">
        <v>44</v>
      </c>
      <c r="F36" s="13">
        <v>72</v>
      </c>
      <c r="G36" s="13" t="s">
        <v>1233</v>
      </c>
      <c r="H36" s="14">
        <v>1.8</v>
      </c>
      <c r="I36" s="13" t="s">
        <v>28</v>
      </c>
      <c r="J36" s="14">
        <v>305808.63</v>
      </c>
      <c r="K36" s="13" t="s">
        <v>26</v>
      </c>
      <c r="L36" s="13">
        <v>173100</v>
      </c>
      <c r="M36" s="13" t="s">
        <v>1234</v>
      </c>
      <c r="O36" s="13">
        <v>1</v>
      </c>
    </row>
    <row r="37" spans="1:17" s="13" customFormat="1" x14ac:dyDescent="0.25">
      <c r="A37" s="13">
        <v>8003879954</v>
      </c>
      <c r="B37" s="13">
        <v>2</v>
      </c>
      <c r="C37" s="13">
        <v>24102017</v>
      </c>
      <c r="D37" s="13">
        <v>415</v>
      </c>
      <c r="E37" s="13" t="s">
        <v>34</v>
      </c>
      <c r="F37" s="13">
        <v>72</v>
      </c>
      <c r="G37" s="13" t="s">
        <v>1233</v>
      </c>
      <c r="H37" s="14">
        <v>30</v>
      </c>
      <c r="I37" s="13" t="s">
        <v>28</v>
      </c>
      <c r="J37" s="14">
        <v>305810.43</v>
      </c>
      <c r="K37" s="13" t="s">
        <v>26</v>
      </c>
      <c r="L37" s="13">
        <v>173100</v>
      </c>
      <c r="M37" s="13" t="s">
        <v>1234</v>
      </c>
      <c r="O37" s="13">
        <v>1</v>
      </c>
    </row>
    <row r="38" spans="1:17" s="13" customFormat="1" x14ac:dyDescent="0.25">
      <c r="A38" s="13">
        <v>8003879954</v>
      </c>
      <c r="B38" s="13">
        <v>1</v>
      </c>
      <c r="C38" s="13">
        <v>24102017</v>
      </c>
      <c r="D38" s="13">
        <v>349</v>
      </c>
      <c r="E38" s="13" t="s">
        <v>35</v>
      </c>
      <c r="F38" s="13">
        <v>72</v>
      </c>
      <c r="G38" s="13" t="s">
        <v>1233</v>
      </c>
      <c r="H38" s="14">
        <v>170877.79</v>
      </c>
      <c r="I38" s="13" t="s">
        <v>28</v>
      </c>
      <c r="J38" s="14">
        <v>305840.43</v>
      </c>
      <c r="K38" s="13" t="s">
        <v>26</v>
      </c>
      <c r="L38" s="13">
        <v>173100</v>
      </c>
      <c r="M38" s="13" t="s">
        <v>1234</v>
      </c>
      <c r="O38" s="13">
        <v>1</v>
      </c>
    </row>
    <row r="39" spans="1:17" s="13" customFormat="1" x14ac:dyDescent="0.25">
      <c r="A39" s="13">
        <v>8003879954</v>
      </c>
      <c r="B39" s="13">
        <v>53</v>
      </c>
      <c r="C39" s="13">
        <v>23102017</v>
      </c>
      <c r="D39" s="13">
        <v>60</v>
      </c>
      <c r="E39" s="13" t="s">
        <v>43</v>
      </c>
      <c r="F39" s="13">
        <v>9938</v>
      </c>
      <c r="G39" s="13" t="s">
        <v>1235</v>
      </c>
      <c r="H39" s="14">
        <v>360</v>
      </c>
      <c r="I39" s="13" t="s">
        <v>28</v>
      </c>
      <c r="J39" s="14">
        <v>476718.22</v>
      </c>
      <c r="K39" s="13" t="s">
        <v>26</v>
      </c>
      <c r="L39" s="13">
        <v>192340</v>
      </c>
      <c r="M39" s="13" t="s">
        <v>1236</v>
      </c>
      <c r="O39" s="13">
        <v>1</v>
      </c>
      <c r="P39" s="13" t="s">
        <v>1237</v>
      </c>
      <c r="Q39" s="13" t="s">
        <v>1238</v>
      </c>
    </row>
    <row r="40" spans="1:17" s="13" customFormat="1" x14ac:dyDescent="0.25">
      <c r="A40" s="13">
        <v>8003879954</v>
      </c>
      <c r="B40" s="13">
        <v>52</v>
      </c>
      <c r="C40" s="13">
        <v>23102017</v>
      </c>
      <c r="D40" s="13">
        <v>341</v>
      </c>
      <c r="E40" s="13" t="s">
        <v>29</v>
      </c>
      <c r="F40" s="13">
        <v>9938</v>
      </c>
      <c r="G40" s="13" t="s">
        <v>1239</v>
      </c>
      <c r="H40" s="14">
        <v>4028</v>
      </c>
      <c r="I40" s="13" t="s">
        <v>28</v>
      </c>
      <c r="J40" s="14">
        <v>477078.22</v>
      </c>
      <c r="K40" s="13" t="s">
        <v>26</v>
      </c>
      <c r="L40" s="13">
        <v>192339</v>
      </c>
      <c r="M40" s="13" t="s">
        <v>972</v>
      </c>
      <c r="O40" s="13">
        <v>1</v>
      </c>
      <c r="P40" s="13" t="s">
        <v>1240</v>
      </c>
      <c r="Q40" s="13" t="s">
        <v>1241</v>
      </c>
    </row>
    <row r="41" spans="1:17" s="13" customFormat="1" x14ac:dyDescent="0.25">
      <c r="A41" s="13">
        <v>8003879954</v>
      </c>
      <c r="B41" s="13">
        <v>51</v>
      </c>
      <c r="C41" s="13">
        <v>23102017</v>
      </c>
      <c r="D41" s="13">
        <v>299</v>
      </c>
      <c r="E41" s="13" t="s">
        <v>30</v>
      </c>
      <c r="F41" s="13">
        <v>9938</v>
      </c>
      <c r="G41" s="13" t="s">
        <v>1239</v>
      </c>
      <c r="H41" s="14">
        <v>0.01</v>
      </c>
      <c r="I41" s="13" t="s">
        <v>28</v>
      </c>
      <c r="J41" s="14">
        <v>481106.22</v>
      </c>
      <c r="K41" s="13" t="s">
        <v>26</v>
      </c>
      <c r="L41" s="13">
        <v>192339</v>
      </c>
      <c r="M41" s="13" t="s">
        <v>1242</v>
      </c>
      <c r="O41" s="13">
        <v>1</v>
      </c>
    </row>
    <row r="42" spans="1:17" s="13" customFormat="1" x14ac:dyDescent="0.25">
      <c r="A42" s="13">
        <v>8003879954</v>
      </c>
      <c r="B42" s="13">
        <v>50</v>
      </c>
      <c r="C42" s="13">
        <v>23102017</v>
      </c>
      <c r="D42" s="13">
        <v>489</v>
      </c>
      <c r="E42" s="13" t="s">
        <v>31</v>
      </c>
      <c r="F42" s="13">
        <v>9938</v>
      </c>
      <c r="G42" s="13" t="s">
        <v>1239</v>
      </c>
      <c r="H42" s="14">
        <v>0.1</v>
      </c>
      <c r="I42" s="13" t="s">
        <v>28</v>
      </c>
      <c r="J42" s="14">
        <v>481106.23</v>
      </c>
      <c r="K42" s="13" t="s">
        <v>26</v>
      </c>
      <c r="L42" s="13">
        <v>192339</v>
      </c>
      <c r="M42" s="13" t="s">
        <v>1242</v>
      </c>
      <c r="O42" s="13">
        <v>1</v>
      </c>
    </row>
    <row r="43" spans="1:17" s="13" customFormat="1" x14ac:dyDescent="0.25">
      <c r="A43" s="13">
        <v>8003879954</v>
      </c>
      <c r="B43" s="13">
        <v>49</v>
      </c>
      <c r="C43" s="13">
        <v>23102017</v>
      </c>
      <c r="D43" s="13">
        <v>60</v>
      </c>
      <c r="E43" s="13" t="s">
        <v>43</v>
      </c>
      <c r="F43" s="13">
        <v>9938</v>
      </c>
      <c r="G43" s="13" t="s">
        <v>1243</v>
      </c>
      <c r="H43" s="14">
        <v>52.5</v>
      </c>
      <c r="I43" s="13" t="s">
        <v>28</v>
      </c>
      <c r="J43" s="14">
        <v>481106.33</v>
      </c>
      <c r="K43" s="13" t="s">
        <v>26</v>
      </c>
      <c r="L43" s="13">
        <v>192339</v>
      </c>
      <c r="M43" s="13" t="s">
        <v>1244</v>
      </c>
      <c r="O43" s="13">
        <v>1</v>
      </c>
      <c r="P43" s="13" t="s">
        <v>1245</v>
      </c>
      <c r="Q43" s="13" t="s">
        <v>1246</v>
      </c>
    </row>
    <row r="44" spans="1:17" s="13" customFormat="1" x14ac:dyDescent="0.25">
      <c r="A44" s="13">
        <v>8003879954</v>
      </c>
      <c r="B44" s="13">
        <v>48</v>
      </c>
      <c r="C44" s="13">
        <v>23102017</v>
      </c>
      <c r="D44" s="13">
        <v>346</v>
      </c>
      <c r="E44" s="13" t="s">
        <v>1049</v>
      </c>
      <c r="F44" s="13">
        <v>9938</v>
      </c>
      <c r="G44" s="13" t="s">
        <v>1247</v>
      </c>
      <c r="H44" s="14">
        <v>5847.21</v>
      </c>
      <c r="I44" s="13" t="s">
        <v>28</v>
      </c>
      <c r="J44" s="14">
        <v>481158.83</v>
      </c>
      <c r="K44" s="13" t="s">
        <v>26</v>
      </c>
      <c r="L44" s="13">
        <v>192133</v>
      </c>
      <c r="M44" s="13" t="s">
        <v>1050</v>
      </c>
      <c r="O44" s="13">
        <v>1</v>
      </c>
      <c r="P44" s="13" t="s">
        <v>1248</v>
      </c>
      <c r="Q44" s="13" t="s">
        <v>1249</v>
      </c>
    </row>
    <row r="45" spans="1:17" s="13" customFormat="1" x14ac:dyDescent="0.25">
      <c r="A45" s="13">
        <v>8003879954</v>
      </c>
      <c r="B45" s="13">
        <v>47</v>
      </c>
      <c r="C45" s="13">
        <v>23102017</v>
      </c>
      <c r="D45" s="13">
        <v>345</v>
      </c>
      <c r="E45" s="13" t="s">
        <v>27</v>
      </c>
      <c r="F45" s="13">
        <v>9938</v>
      </c>
      <c r="G45" s="13" t="s">
        <v>1250</v>
      </c>
      <c r="H45" s="14">
        <v>750</v>
      </c>
      <c r="I45" s="13" t="s">
        <v>28</v>
      </c>
      <c r="J45" s="14">
        <v>487006.04</v>
      </c>
      <c r="K45" s="13" t="s">
        <v>26</v>
      </c>
      <c r="L45" s="13">
        <v>192133</v>
      </c>
      <c r="M45" s="13" t="s">
        <v>1251</v>
      </c>
      <c r="O45" s="13">
        <v>1</v>
      </c>
      <c r="P45" s="13" t="s">
        <v>1252</v>
      </c>
      <c r="Q45" s="13" t="s">
        <v>1253</v>
      </c>
    </row>
    <row r="46" spans="1:17" s="13" customFormat="1" x14ac:dyDescent="0.25">
      <c r="A46" s="13">
        <v>8003879954</v>
      </c>
      <c r="B46" s="13">
        <v>46</v>
      </c>
      <c r="C46" s="13">
        <v>23102017</v>
      </c>
      <c r="D46" s="13">
        <v>341</v>
      </c>
      <c r="E46" s="13" t="s">
        <v>29</v>
      </c>
      <c r="F46" s="13">
        <v>9938</v>
      </c>
      <c r="G46" s="13" t="s">
        <v>1254</v>
      </c>
      <c r="H46" s="14">
        <v>171.99</v>
      </c>
      <c r="I46" s="13" t="s">
        <v>28</v>
      </c>
      <c r="J46" s="14">
        <v>487756.04</v>
      </c>
      <c r="K46" s="13" t="s">
        <v>26</v>
      </c>
      <c r="L46" s="13">
        <v>192133</v>
      </c>
      <c r="M46" s="13" t="s">
        <v>87</v>
      </c>
      <c r="O46" s="13">
        <v>1</v>
      </c>
      <c r="P46" s="13" t="s">
        <v>1255</v>
      </c>
      <c r="Q46" s="13" t="s">
        <v>1256</v>
      </c>
    </row>
    <row r="47" spans="1:17" s="13" customFormat="1" x14ac:dyDescent="0.25">
      <c r="A47" s="13">
        <v>8003879954</v>
      </c>
      <c r="B47" s="13">
        <v>45</v>
      </c>
      <c r="C47" s="13">
        <v>23102017</v>
      </c>
      <c r="D47" s="13">
        <v>299</v>
      </c>
      <c r="E47" s="13" t="s">
        <v>30</v>
      </c>
      <c r="F47" s="13">
        <v>9938</v>
      </c>
      <c r="G47" s="13" t="s">
        <v>1254</v>
      </c>
      <c r="H47" s="14">
        <v>0.01</v>
      </c>
      <c r="I47" s="13" t="s">
        <v>28</v>
      </c>
      <c r="J47" s="14">
        <v>487928.03</v>
      </c>
      <c r="K47" s="13" t="s">
        <v>26</v>
      </c>
      <c r="L47" s="13">
        <v>192133</v>
      </c>
      <c r="M47" s="13" t="s">
        <v>1257</v>
      </c>
      <c r="O47" s="13">
        <v>1</v>
      </c>
    </row>
    <row r="48" spans="1:17" s="13" customFormat="1" x14ac:dyDescent="0.25">
      <c r="A48" s="13">
        <v>8003879954</v>
      </c>
      <c r="B48" s="13">
        <v>44</v>
      </c>
      <c r="C48" s="13">
        <v>23102017</v>
      </c>
      <c r="D48" s="13">
        <v>489</v>
      </c>
      <c r="E48" s="13" t="s">
        <v>31</v>
      </c>
      <c r="F48" s="13">
        <v>9938</v>
      </c>
      <c r="G48" s="13" t="s">
        <v>1254</v>
      </c>
      <c r="H48" s="14">
        <v>0.1</v>
      </c>
      <c r="I48" s="13" t="s">
        <v>28</v>
      </c>
      <c r="J48" s="14">
        <v>487928.04</v>
      </c>
      <c r="K48" s="13" t="s">
        <v>26</v>
      </c>
      <c r="L48" s="13">
        <v>192133</v>
      </c>
      <c r="M48" s="13" t="s">
        <v>1257</v>
      </c>
      <c r="O48" s="13">
        <v>1</v>
      </c>
    </row>
    <row r="49" spans="1:17" s="13" customFormat="1" x14ac:dyDescent="0.25">
      <c r="A49" s="13">
        <v>8003879954</v>
      </c>
      <c r="B49" s="13">
        <v>43</v>
      </c>
      <c r="C49" s="13">
        <v>23102017</v>
      </c>
      <c r="D49" s="13">
        <v>60</v>
      </c>
      <c r="E49" s="13" t="s">
        <v>43</v>
      </c>
      <c r="F49" s="13">
        <v>9938</v>
      </c>
      <c r="G49" s="13" t="s">
        <v>1258</v>
      </c>
      <c r="H49" s="14">
        <v>3000</v>
      </c>
      <c r="I49" s="13" t="s">
        <v>28</v>
      </c>
      <c r="J49" s="14">
        <v>487928.14</v>
      </c>
      <c r="K49" s="13" t="s">
        <v>26</v>
      </c>
      <c r="L49" s="13">
        <v>192133</v>
      </c>
      <c r="M49" s="13" t="s">
        <v>1259</v>
      </c>
      <c r="O49" s="13">
        <v>1</v>
      </c>
      <c r="P49" s="13" t="s">
        <v>1260</v>
      </c>
      <c r="Q49" s="13" t="s">
        <v>1261</v>
      </c>
    </row>
    <row r="50" spans="1:17" s="13" customFormat="1" x14ac:dyDescent="0.25">
      <c r="A50" s="13">
        <v>8003879954</v>
      </c>
      <c r="B50" s="13">
        <v>42</v>
      </c>
      <c r="C50" s="13">
        <v>23102017</v>
      </c>
      <c r="D50" s="13">
        <v>345</v>
      </c>
      <c r="E50" s="13" t="s">
        <v>27</v>
      </c>
      <c r="F50" s="13">
        <v>9938</v>
      </c>
      <c r="G50" s="13" t="s">
        <v>1262</v>
      </c>
      <c r="H50" s="14">
        <v>588.29999999999995</v>
      </c>
      <c r="I50" s="13" t="s">
        <v>28</v>
      </c>
      <c r="J50" s="14">
        <v>490928.14</v>
      </c>
      <c r="K50" s="13" t="s">
        <v>26</v>
      </c>
      <c r="L50" s="13">
        <v>192133</v>
      </c>
      <c r="M50" s="13" t="s">
        <v>1263</v>
      </c>
      <c r="O50" s="13">
        <v>1</v>
      </c>
      <c r="P50" s="13" t="s">
        <v>1264</v>
      </c>
      <c r="Q50" s="13" t="s">
        <v>74</v>
      </c>
    </row>
    <row r="51" spans="1:17" s="13" customFormat="1" x14ac:dyDescent="0.25">
      <c r="A51" s="13">
        <v>8003879954</v>
      </c>
      <c r="B51" s="13">
        <v>41</v>
      </c>
      <c r="C51" s="13">
        <v>23102017</v>
      </c>
      <c r="D51" s="13">
        <v>341</v>
      </c>
      <c r="E51" s="13" t="s">
        <v>29</v>
      </c>
      <c r="F51" s="13">
        <v>9938</v>
      </c>
      <c r="G51" s="13" t="s">
        <v>1265</v>
      </c>
      <c r="H51" s="14">
        <v>90</v>
      </c>
      <c r="I51" s="13" t="s">
        <v>28</v>
      </c>
      <c r="J51" s="14">
        <v>491516.44</v>
      </c>
      <c r="K51" s="13" t="s">
        <v>26</v>
      </c>
      <c r="L51" s="13">
        <v>192133</v>
      </c>
      <c r="M51" s="13" t="s">
        <v>468</v>
      </c>
      <c r="O51" s="13">
        <v>1</v>
      </c>
      <c r="P51" s="13" t="s">
        <v>1266</v>
      </c>
      <c r="Q51" s="13" t="s">
        <v>1267</v>
      </c>
    </row>
    <row r="52" spans="1:17" s="13" customFormat="1" x14ac:dyDescent="0.25">
      <c r="A52" s="13">
        <v>8003879954</v>
      </c>
      <c r="B52" s="13">
        <v>40</v>
      </c>
      <c r="C52" s="13">
        <v>23102017</v>
      </c>
      <c r="D52" s="13">
        <v>299</v>
      </c>
      <c r="E52" s="13" t="s">
        <v>30</v>
      </c>
      <c r="F52" s="13">
        <v>9938</v>
      </c>
      <c r="G52" s="13" t="s">
        <v>1265</v>
      </c>
      <c r="H52" s="14">
        <v>0.01</v>
      </c>
      <c r="I52" s="13" t="s">
        <v>28</v>
      </c>
      <c r="J52" s="14">
        <v>491606.44</v>
      </c>
      <c r="K52" s="13" t="s">
        <v>26</v>
      </c>
      <c r="L52" s="13">
        <v>192133</v>
      </c>
      <c r="M52" s="13" t="s">
        <v>1268</v>
      </c>
      <c r="O52" s="13">
        <v>1</v>
      </c>
    </row>
    <row r="53" spans="1:17" s="13" customFormat="1" x14ac:dyDescent="0.25">
      <c r="A53" s="13">
        <v>8003879954</v>
      </c>
      <c r="B53" s="13">
        <v>39</v>
      </c>
      <c r="C53" s="13">
        <v>23102017</v>
      </c>
      <c r="D53" s="13">
        <v>489</v>
      </c>
      <c r="E53" s="13" t="s">
        <v>31</v>
      </c>
      <c r="F53" s="13">
        <v>9938</v>
      </c>
      <c r="G53" s="13" t="s">
        <v>1265</v>
      </c>
      <c r="H53" s="14">
        <v>0.1</v>
      </c>
      <c r="I53" s="13" t="s">
        <v>28</v>
      </c>
      <c r="J53" s="14">
        <v>491606.45</v>
      </c>
      <c r="K53" s="13" t="s">
        <v>26</v>
      </c>
      <c r="L53" s="13">
        <v>192133</v>
      </c>
      <c r="M53" s="13" t="s">
        <v>1268</v>
      </c>
      <c r="O53" s="13">
        <v>1</v>
      </c>
    </row>
    <row r="54" spans="1:17" s="13" customFormat="1" x14ac:dyDescent="0.25">
      <c r="A54" s="13">
        <v>8003879954</v>
      </c>
      <c r="B54" s="13">
        <v>38</v>
      </c>
      <c r="C54" s="13">
        <v>23102017</v>
      </c>
      <c r="D54" s="13">
        <v>341</v>
      </c>
      <c r="E54" s="13" t="s">
        <v>29</v>
      </c>
      <c r="F54" s="13">
        <v>9938</v>
      </c>
      <c r="G54" s="13" t="s">
        <v>1269</v>
      </c>
      <c r="H54" s="14">
        <v>2007</v>
      </c>
      <c r="I54" s="13" t="s">
        <v>28</v>
      </c>
      <c r="J54" s="14">
        <v>491606.55</v>
      </c>
      <c r="K54" s="13" t="s">
        <v>26</v>
      </c>
      <c r="L54" s="13">
        <v>192133</v>
      </c>
      <c r="M54" s="13" t="s">
        <v>225</v>
      </c>
      <c r="O54" s="13">
        <v>1</v>
      </c>
      <c r="P54" s="13" t="s">
        <v>1270</v>
      </c>
      <c r="Q54" s="13" t="s">
        <v>371</v>
      </c>
    </row>
    <row r="55" spans="1:17" s="13" customFormat="1" x14ac:dyDescent="0.25">
      <c r="A55" s="13">
        <v>8003879954</v>
      </c>
      <c r="B55" s="13">
        <v>37</v>
      </c>
      <c r="C55" s="13">
        <v>23102017</v>
      </c>
      <c r="D55" s="13">
        <v>299</v>
      </c>
      <c r="E55" s="13" t="s">
        <v>30</v>
      </c>
      <c r="F55" s="13">
        <v>9938</v>
      </c>
      <c r="G55" s="13" t="s">
        <v>1269</v>
      </c>
      <c r="H55" s="14">
        <v>0.01</v>
      </c>
      <c r="I55" s="13" t="s">
        <v>28</v>
      </c>
      <c r="J55" s="14">
        <v>493613.55</v>
      </c>
      <c r="K55" s="13" t="s">
        <v>26</v>
      </c>
      <c r="L55" s="13">
        <v>192133</v>
      </c>
      <c r="M55" s="13" t="s">
        <v>1271</v>
      </c>
      <c r="O55" s="13">
        <v>1</v>
      </c>
    </row>
    <row r="56" spans="1:17" s="13" customFormat="1" x14ac:dyDescent="0.25">
      <c r="A56" s="13">
        <v>8003879954</v>
      </c>
      <c r="B56" s="13">
        <v>36</v>
      </c>
      <c r="C56" s="13">
        <v>23102017</v>
      </c>
      <c r="D56" s="13">
        <v>489</v>
      </c>
      <c r="E56" s="13" t="s">
        <v>31</v>
      </c>
      <c r="F56" s="13">
        <v>9938</v>
      </c>
      <c r="G56" s="13" t="s">
        <v>1269</v>
      </c>
      <c r="H56" s="14">
        <v>0.1</v>
      </c>
      <c r="I56" s="13" t="s">
        <v>28</v>
      </c>
      <c r="J56" s="14">
        <v>493613.56</v>
      </c>
      <c r="K56" s="13" t="s">
        <v>26</v>
      </c>
      <c r="L56" s="13">
        <v>192133</v>
      </c>
      <c r="M56" s="13" t="s">
        <v>1271</v>
      </c>
      <c r="O56" s="13">
        <v>1</v>
      </c>
    </row>
    <row r="57" spans="1:17" s="13" customFormat="1" x14ac:dyDescent="0.25">
      <c r="A57" s="13">
        <v>8003879954</v>
      </c>
      <c r="B57" s="13">
        <v>35</v>
      </c>
      <c r="C57" s="13">
        <v>23102017</v>
      </c>
      <c r="D57" s="13">
        <v>341</v>
      </c>
      <c r="E57" s="13" t="s">
        <v>29</v>
      </c>
      <c r="F57" s="13">
        <v>9938</v>
      </c>
      <c r="G57" s="13" t="s">
        <v>1272</v>
      </c>
      <c r="H57" s="14">
        <v>270</v>
      </c>
      <c r="I57" s="13" t="s">
        <v>28</v>
      </c>
      <c r="J57" s="14">
        <v>493613.66</v>
      </c>
      <c r="K57" s="13" t="s">
        <v>26</v>
      </c>
      <c r="L57" s="13">
        <v>192133</v>
      </c>
      <c r="M57" s="13" t="s">
        <v>165</v>
      </c>
      <c r="O57" s="13">
        <v>1</v>
      </c>
      <c r="P57" s="13" t="s">
        <v>1273</v>
      </c>
      <c r="Q57" s="13" t="s">
        <v>1274</v>
      </c>
    </row>
    <row r="58" spans="1:17" s="13" customFormat="1" x14ac:dyDescent="0.25">
      <c r="A58" s="13">
        <v>8003879954</v>
      </c>
      <c r="B58" s="13">
        <v>34</v>
      </c>
      <c r="C58" s="13">
        <v>23102017</v>
      </c>
      <c r="D58" s="13">
        <v>299</v>
      </c>
      <c r="E58" s="13" t="s">
        <v>30</v>
      </c>
      <c r="F58" s="13">
        <v>9938</v>
      </c>
      <c r="G58" s="13" t="s">
        <v>1272</v>
      </c>
      <c r="H58" s="14">
        <v>0.01</v>
      </c>
      <c r="I58" s="13" t="s">
        <v>28</v>
      </c>
      <c r="J58" s="14">
        <v>493883.66</v>
      </c>
      <c r="K58" s="13" t="s">
        <v>26</v>
      </c>
      <c r="L58" s="13">
        <v>192133</v>
      </c>
      <c r="M58" s="13" t="s">
        <v>1275</v>
      </c>
      <c r="O58" s="13">
        <v>1</v>
      </c>
    </row>
    <row r="59" spans="1:17" s="13" customFormat="1" x14ac:dyDescent="0.25">
      <c r="A59" s="13">
        <v>8003879954</v>
      </c>
      <c r="B59" s="13">
        <v>33</v>
      </c>
      <c r="C59" s="13">
        <v>23102017</v>
      </c>
      <c r="D59" s="13">
        <v>489</v>
      </c>
      <c r="E59" s="13" t="s">
        <v>31</v>
      </c>
      <c r="F59" s="13">
        <v>9938</v>
      </c>
      <c r="G59" s="13" t="s">
        <v>1272</v>
      </c>
      <c r="H59" s="14">
        <v>0.1</v>
      </c>
      <c r="I59" s="13" t="s">
        <v>28</v>
      </c>
      <c r="J59" s="14">
        <v>493883.67</v>
      </c>
      <c r="K59" s="13" t="s">
        <v>26</v>
      </c>
      <c r="L59" s="13">
        <v>192133</v>
      </c>
      <c r="M59" s="13" t="s">
        <v>1275</v>
      </c>
      <c r="O59" s="13">
        <v>1</v>
      </c>
    </row>
    <row r="60" spans="1:17" s="13" customFormat="1" x14ac:dyDescent="0.25">
      <c r="A60" s="13">
        <v>8003879954</v>
      </c>
      <c r="B60" s="13">
        <v>32</v>
      </c>
      <c r="C60" s="13">
        <v>23102017</v>
      </c>
      <c r="D60" s="13">
        <v>341</v>
      </c>
      <c r="E60" s="13" t="s">
        <v>29</v>
      </c>
      <c r="F60" s="13">
        <v>9938</v>
      </c>
      <c r="G60" s="13" t="s">
        <v>1276</v>
      </c>
      <c r="H60" s="14">
        <v>1431</v>
      </c>
      <c r="I60" s="13" t="s">
        <v>28</v>
      </c>
      <c r="J60" s="14">
        <v>493883.77</v>
      </c>
      <c r="K60" s="13" t="s">
        <v>26</v>
      </c>
      <c r="L60" s="13">
        <v>192133</v>
      </c>
      <c r="M60" s="13" t="s">
        <v>1277</v>
      </c>
      <c r="O60" s="13">
        <v>1</v>
      </c>
      <c r="P60" s="13" t="s">
        <v>1278</v>
      </c>
      <c r="Q60" s="13" t="s">
        <v>1279</v>
      </c>
    </row>
    <row r="61" spans="1:17" s="13" customFormat="1" x14ac:dyDescent="0.25">
      <c r="A61" s="13">
        <v>8003879954</v>
      </c>
      <c r="B61" s="13">
        <v>31</v>
      </c>
      <c r="C61" s="13">
        <v>23102017</v>
      </c>
      <c r="D61" s="13">
        <v>299</v>
      </c>
      <c r="E61" s="13" t="s">
        <v>30</v>
      </c>
      <c r="F61" s="13">
        <v>9938</v>
      </c>
      <c r="G61" s="13" t="s">
        <v>1276</v>
      </c>
      <c r="H61" s="14">
        <v>0.01</v>
      </c>
      <c r="I61" s="13" t="s">
        <v>28</v>
      </c>
      <c r="J61" s="14">
        <v>495314.77</v>
      </c>
      <c r="K61" s="13" t="s">
        <v>26</v>
      </c>
      <c r="L61" s="13">
        <v>192133</v>
      </c>
      <c r="M61" s="13" t="s">
        <v>1280</v>
      </c>
      <c r="O61" s="13">
        <v>1</v>
      </c>
    </row>
    <row r="62" spans="1:17" s="13" customFormat="1" x14ac:dyDescent="0.25">
      <c r="A62" s="13">
        <v>8003879954</v>
      </c>
      <c r="B62" s="13">
        <v>30</v>
      </c>
      <c r="C62" s="13">
        <v>23102017</v>
      </c>
      <c r="D62" s="13">
        <v>489</v>
      </c>
      <c r="E62" s="13" t="s">
        <v>31</v>
      </c>
      <c r="F62" s="13">
        <v>9938</v>
      </c>
      <c r="G62" s="13" t="s">
        <v>1276</v>
      </c>
      <c r="H62" s="14">
        <v>0.1</v>
      </c>
      <c r="I62" s="13" t="s">
        <v>28</v>
      </c>
      <c r="J62" s="14">
        <v>495314.78</v>
      </c>
      <c r="K62" s="13" t="s">
        <v>26</v>
      </c>
      <c r="L62" s="13">
        <v>192133</v>
      </c>
      <c r="M62" s="13" t="s">
        <v>1280</v>
      </c>
      <c r="O62" s="13">
        <v>1</v>
      </c>
    </row>
    <row r="63" spans="1:17" s="13" customFormat="1" x14ac:dyDescent="0.25">
      <c r="A63" s="13">
        <v>8003879954</v>
      </c>
      <c r="B63" s="13">
        <v>29</v>
      </c>
      <c r="C63" s="13">
        <v>23102017</v>
      </c>
      <c r="D63" s="13">
        <v>341</v>
      </c>
      <c r="E63" s="13" t="s">
        <v>29</v>
      </c>
      <c r="F63" s="13">
        <v>9938</v>
      </c>
      <c r="G63" s="13" t="s">
        <v>1281</v>
      </c>
      <c r="H63" s="14">
        <v>153.69999999999999</v>
      </c>
      <c r="I63" s="13" t="s">
        <v>28</v>
      </c>
      <c r="J63" s="14">
        <v>495314.88</v>
      </c>
      <c r="K63" s="13" t="s">
        <v>26</v>
      </c>
      <c r="L63" s="13">
        <v>192132</v>
      </c>
      <c r="M63" s="13" t="s">
        <v>365</v>
      </c>
      <c r="O63" s="13">
        <v>1</v>
      </c>
      <c r="P63" s="13" t="s">
        <v>1282</v>
      </c>
      <c r="Q63" s="13" t="s">
        <v>1283</v>
      </c>
    </row>
    <row r="64" spans="1:17" s="13" customFormat="1" x14ac:dyDescent="0.25">
      <c r="A64" s="13">
        <v>8003879954</v>
      </c>
      <c r="B64" s="13">
        <v>28</v>
      </c>
      <c r="C64" s="13">
        <v>23102017</v>
      </c>
      <c r="D64" s="13">
        <v>299</v>
      </c>
      <c r="E64" s="13" t="s">
        <v>30</v>
      </c>
      <c r="F64" s="13">
        <v>9938</v>
      </c>
      <c r="G64" s="13" t="s">
        <v>1281</v>
      </c>
      <c r="H64" s="14">
        <v>0.01</v>
      </c>
      <c r="I64" s="13" t="s">
        <v>28</v>
      </c>
      <c r="J64" s="14">
        <v>495468.58</v>
      </c>
      <c r="K64" s="13" t="s">
        <v>26</v>
      </c>
      <c r="L64" s="13">
        <v>192132</v>
      </c>
      <c r="M64" s="13" t="s">
        <v>1284</v>
      </c>
      <c r="O64" s="13">
        <v>1</v>
      </c>
    </row>
    <row r="65" spans="1:17" s="13" customFormat="1" x14ac:dyDescent="0.25">
      <c r="A65" s="13">
        <v>8003879954</v>
      </c>
      <c r="B65" s="13">
        <v>27</v>
      </c>
      <c r="C65" s="13">
        <v>23102017</v>
      </c>
      <c r="D65" s="13">
        <v>489</v>
      </c>
      <c r="E65" s="13" t="s">
        <v>31</v>
      </c>
      <c r="F65" s="13">
        <v>9938</v>
      </c>
      <c r="G65" s="13" t="s">
        <v>1281</v>
      </c>
      <c r="H65" s="14">
        <v>0.1</v>
      </c>
      <c r="I65" s="13" t="s">
        <v>28</v>
      </c>
      <c r="J65" s="14">
        <v>495468.59</v>
      </c>
      <c r="K65" s="13" t="s">
        <v>26</v>
      </c>
      <c r="L65" s="13">
        <v>192132</v>
      </c>
      <c r="M65" s="13" t="s">
        <v>1284</v>
      </c>
      <c r="O65" s="13">
        <v>1</v>
      </c>
    </row>
    <row r="66" spans="1:17" s="13" customFormat="1" x14ac:dyDescent="0.25">
      <c r="A66" s="13">
        <v>8003879954</v>
      </c>
      <c r="B66" s="13">
        <v>26</v>
      </c>
      <c r="C66" s="13">
        <v>23102017</v>
      </c>
      <c r="D66" s="13">
        <v>341</v>
      </c>
      <c r="E66" s="13" t="s">
        <v>29</v>
      </c>
      <c r="F66" s="13">
        <v>9938</v>
      </c>
      <c r="G66" s="13" t="s">
        <v>1285</v>
      </c>
      <c r="H66" s="14">
        <v>6966.83</v>
      </c>
      <c r="I66" s="13" t="s">
        <v>28</v>
      </c>
      <c r="J66" s="14">
        <v>495468.69</v>
      </c>
      <c r="K66" s="13" t="s">
        <v>26</v>
      </c>
      <c r="L66" s="13">
        <v>191717</v>
      </c>
      <c r="M66" s="13" t="s">
        <v>128</v>
      </c>
      <c r="O66" s="13">
        <v>1</v>
      </c>
      <c r="P66" s="13" t="s">
        <v>1286</v>
      </c>
      <c r="Q66" s="13" t="s">
        <v>1287</v>
      </c>
    </row>
    <row r="67" spans="1:17" s="13" customFormat="1" x14ac:dyDescent="0.25">
      <c r="A67" s="13">
        <v>8003879954</v>
      </c>
      <c r="B67" s="13">
        <v>25</v>
      </c>
      <c r="C67" s="13">
        <v>23102017</v>
      </c>
      <c r="D67" s="13">
        <v>299</v>
      </c>
      <c r="E67" s="13" t="s">
        <v>30</v>
      </c>
      <c r="F67" s="13">
        <v>9938</v>
      </c>
      <c r="G67" s="13" t="s">
        <v>1285</v>
      </c>
      <c r="H67" s="14">
        <v>0.01</v>
      </c>
      <c r="I67" s="13" t="s">
        <v>28</v>
      </c>
      <c r="J67" s="14">
        <v>502435.52</v>
      </c>
      <c r="K67" s="13" t="s">
        <v>26</v>
      </c>
      <c r="L67" s="13">
        <v>191717</v>
      </c>
      <c r="M67" s="13" t="s">
        <v>1288</v>
      </c>
      <c r="O67" s="13">
        <v>1</v>
      </c>
    </row>
    <row r="68" spans="1:17" s="13" customFormat="1" x14ac:dyDescent="0.25">
      <c r="A68" s="13">
        <v>8003879954</v>
      </c>
      <c r="B68" s="13">
        <v>24</v>
      </c>
      <c r="C68" s="13">
        <v>23102017</v>
      </c>
      <c r="D68" s="13">
        <v>489</v>
      </c>
      <c r="E68" s="13" t="s">
        <v>31</v>
      </c>
      <c r="F68" s="13">
        <v>9938</v>
      </c>
      <c r="G68" s="13" t="s">
        <v>1285</v>
      </c>
      <c r="H68" s="14">
        <v>0.1</v>
      </c>
      <c r="I68" s="13" t="s">
        <v>28</v>
      </c>
      <c r="J68" s="14">
        <v>502435.53</v>
      </c>
      <c r="K68" s="13" t="s">
        <v>26</v>
      </c>
      <c r="L68" s="13">
        <v>191717</v>
      </c>
      <c r="M68" s="13" t="s">
        <v>1288</v>
      </c>
      <c r="O68" s="13">
        <v>1</v>
      </c>
    </row>
    <row r="69" spans="1:17" s="13" customFormat="1" x14ac:dyDescent="0.25">
      <c r="A69" s="13">
        <v>8003879954</v>
      </c>
      <c r="B69" s="13">
        <v>23</v>
      </c>
      <c r="C69" s="13">
        <v>23102017</v>
      </c>
      <c r="D69" s="13">
        <v>341</v>
      </c>
      <c r="E69" s="13" t="s">
        <v>29</v>
      </c>
      <c r="F69" s="13">
        <v>9938</v>
      </c>
      <c r="G69" s="13" t="s">
        <v>1289</v>
      </c>
      <c r="H69" s="14">
        <v>583</v>
      </c>
      <c r="I69" s="13" t="s">
        <v>28</v>
      </c>
      <c r="J69" s="14">
        <v>502435.63</v>
      </c>
      <c r="K69" s="13" t="s">
        <v>26</v>
      </c>
      <c r="L69" s="13">
        <v>191714</v>
      </c>
      <c r="M69" s="13" t="s">
        <v>1290</v>
      </c>
      <c r="O69" s="13">
        <v>1</v>
      </c>
      <c r="P69" s="13" t="s">
        <v>1291</v>
      </c>
      <c r="Q69" s="13" t="s">
        <v>1292</v>
      </c>
    </row>
    <row r="70" spans="1:17" s="13" customFormat="1" x14ac:dyDescent="0.25">
      <c r="A70" s="13">
        <v>8003879954</v>
      </c>
      <c r="B70" s="13">
        <v>22</v>
      </c>
      <c r="C70" s="13">
        <v>23102017</v>
      </c>
      <c r="D70" s="13">
        <v>299</v>
      </c>
      <c r="E70" s="13" t="s">
        <v>30</v>
      </c>
      <c r="F70" s="13">
        <v>9938</v>
      </c>
      <c r="G70" s="13" t="s">
        <v>1289</v>
      </c>
      <c r="H70" s="14">
        <v>0.01</v>
      </c>
      <c r="I70" s="13" t="s">
        <v>28</v>
      </c>
      <c r="J70" s="14">
        <v>503018.63</v>
      </c>
      <c r="K70" s="13" t="s">
        <v>26</v>
      </c>
      <c r="L70" s="13">
        <v>191714</v>
      </c>
      <c r="M70" s="13" t="s">
        <v>1293</v>
      </c>
      <c r="O70" s="13">
        <v>1</v>
      </c>
    </row>
    <row r="71" spans="1:17" s="13" customFormat="1" x14ac:dyDescent="0.25">
      <c r="A71" s="13">
        <v>8003879954</v>
      </c>
      <c r="B71" s="13">
        <v>21</v>
      </c>
      <c r="C71" s="13">
        <v>23102017</v>
      </c>
      <c r="D71" s="13">
        <v>489</v>
      </c>
      <c r="E71" s="13" t="s">
        <v>31</v>
      </c>
      <c r="F71" s="13">
        <v>9938</v>
      </c>
      <c r="G71" s="13" t="s">
        <v>1289</v>
      </c>
      <c r="H71" s="14">
        <v>0.1</v>
      </c>
      <c r="I71" s="13" t="s">
        <v>28</v>
      </c>
      <c r="J71" s="14">
        <v>503018.64</v>
      </c>
      <c r="K71" s="13" t="s">
        <v>26</v>
      </c>
      <c r="L71" s="13">
        <v>191714</v>
      </c>
      <c r="M71" s="13" t="s">
        <v>1293</v>
      </c>
      <c r="O71" s="13">
        <v>1</v>
      </c>
    </row>
    <row r="72" spans="1:17" s="13" customFormat="1" x14ac:dyDescent="0.25">
      <c r="A72" s="13">
        <v>8003879954</v>
      </c>
      <c r="B72" s="13">
        <v>20</v>
      </c>
      <c r="C72" s="13">
        <v>23102017</v>
      </c>
      <c r="D72" s="13">
        <v>341</v>
      </c>
      <c r="E72" s="13" t="s">
        <v>29</v>
      </c>
      <c r="F72" s="13">
        <v>9938</v>
      </c>
      <c r="G72" s="13" t="s">
        <v>1294</v>
      </c>
      <c r="H72" s="14">
        <v>17.5</v>
      </c>
      <c r="I72" s="13" t="s">
        <v>28</v>
      </c>
      <c r="J72" s="14">
        <v>503018.74</v>
      </c>
      <c r="K72" s="13" t="s">
        <v>26</v>
      </c>
      <c r="L72" s="13">
        <v>191717</v>
      </c>
      <c r="M72" s="13" t="s">
        <v>97</v>
      </c>
      <c r="O72" s="13">
        <v>1</v>
      </c>
      <c r="P72" s="13" t="s">
        <v>1295</v>
      </c>
      <c r="Q72" s="13" t="s">
        <v>1296</v>
      </c>
    </row>
    <row r="73" spans="1:17" s="13" customFormat="1" x14ac:dyDescent="0.25">
      <c r="A73" s="13">
        <v>8003879954</v>
      </c>
      <c r="B73" s="13">
        <v>19</v>
      </c>
      <c r="C73" s="13">
        <v>23102017</v>
      </c>
      <c r="D73" s="13">
        <v>299</v>
      </c>
      <c r="E73" s="13" t="s">
        <v>30</v>
      </c>
      <c r="F73" s="13">
        <v>9938</v>
      </c>
      <c r="G73" s="13" t="s">
        <v>1294</v>
      </c>
      <c r="H73" s="14">
        <v>0.01</v>
      </c>
      <c r="I73" s="13" t="s">
        <v>28</v>
      </c>
      <c r="J73" s="14">
        <v>503036.24</v>
      </c>
      <c r="K73" s="13" t="s">
        <v>26</v>
      </c>
      <c r="L73" s="13">
        <v>191717</v>
      </c>
      <c r="M73" s="13" t="s">
        <v>1297</v>
      </c>
      <c r="O73" s="13">
        <v>1</v>
      </c>
    </row>
    <row r="74" spans="1:17" s="13" customFormat="1" x14ac:dyDescent="0.25">
      <c r="A74" s="13">
        <v>8003879954</v>
      </c>
      <c r="B74" s="13">
        <v>18</v>
      </c>
      <c r="C74" s="13">
        <v>23102017</v>
      </c>
      <c r="D74" s="13">
        <v>489</v>
      </c>
      <c r="E74" s="13" t="s">
        <v>31</v>
      </c>
      <c r="F74" s="13">
        <v>9938</v>
      </c>
      <c r="G74" s="13" t="s">
        <v>1294</v>
      </c>
      <c r="H74" s="14">
        <v>0.1</v>
      </c>
      <c r="I74" s="13" t="s">
        <v>28</v>
      </c>
      <c r="J74" s="14">
        <v>503036.25</v>
      </c>
      <c r="K74" s="13" t="s">
        <v>26</v>
      </c>
      <c r="L74" s="13">
        <v>191717</v>
      </c>
      <c r="M74" s="13" t="s">
        <v>1297</v>
      </c>
      <c r="O74" s="13">
        <v>1</v>
      </c>
    </row>
    <row r="75" spans="1:17" s="13" customFormat="1" x14ac:dyDescent="0.25">
      <c r="A75" s="13">
        <v>8003879954</v>
      </c>
      <c r="B75" s="13">
        <v>17</v>
      </c>
      <c r="C75" s="13">
        <v>23102017</v>
      </c>
      <c r="D75" s="13">
        <v>341</v>
      </c>
      <c r="E75" s="13" t="s">
        <v>29</v>
      </c>
      <c r="F75" s="13">
        <v>9938</v>
      </c>
      <c r="G75" s="13" t="s">
        <v>1298</v>
      </c>
      <c r="H75" s="14">
        <v>22.75</v>
      </c>
      <c r="I75" s="13" t="s">
        <v>28</v>
      </c>
      <c r="J75" s="14">
        <v>503036.35</v>
      </c>
      <c r="K75" s="13" t="s">
        <v>26</v>
      </c>
      <c r="L75" s="13">
        <v>191714</v>
      </c>
      <c r="M75" s="13" t="s">
        <v>620</v>
      </c>
      <c r="O75" s="13">
        <v>1</v>
      </c>
      <c r="P75" s="13" t="s">
        <v>1299</v>
      </c>
      <c r="Q75" s="13" t="s">
        <v>1300</v>
      </c>
    </row>
    <row r="76" spans="1:17" s="13" customFormat="1" x14ac:dyDescent="0.25">
      <c r="A76" s="13">
        <v>8003879954</v>
      </c>
      <c r="B76" s="13">
        <v>16</v>
      </c>
      <c r="C76" s="13">
        <v>23102017</v>
      </c>
      <c r="D76" s="13">
        <v>299</v>
      </c>
      <c r="E76" s="13" t="s">
        <v>30</v>
      </c>
      <c r="F76" s="13">
        <v>9938</v>
      </c>
      <c r="G76" s="13" t="s">
        <v>1298</v>
      </c>
      <c r="H76" s="14">
        <v>0.01</v>
      </c>
      <c r="I76" s="13" t="s">
        <v>28</v>
      </c>
      <c r="J76" s="14">
        <v>503059.1</v>
      </c>
      <c r="K76" s="13" t="s">
        <v>26</v>
      </c>
      <c r="L76" s="13">
        <v>191714</v>
      </c>
      <c r="M76" s="13" t="s">
        <v>1301</v>
      </c>
      <c r="O76" s="13">
        <v>1</v>
      </c>
    </row>
    <row r="77" spans="1:17" s="13" customFormat="1" x14ac:dyDescent="0.25">
      <c r="A77" s="13">
        <v>8003879954</v>
      </c>
      <c r="B77" s="13">
        <v>15</v>
      </c>
      <c r="C77" s="13">
        <v>23102017</v>
      </c>
      <c r="D77" s="13">
        <v>489</v>
      </c>
      <c r="E77" s="13" t="s">
        <v>31</v>
      </c>
      <c r="F77" s="13">
        <v>9938</v>
      </c>
      <c r="G77" s="13" t="s">
        <v>1298</v>
      </c>
      <c r="H77" s="14">
        <v>0.1</v>
      </c>
      <c r="I77" s="13" t="s">
        <v>28</v>
      </c>
      <c r="J77" s="14">
        <v>503059.11</v>
      </c>
      <c r="K77" s="13" t="s">
        <v>26</v>
      </c>
      <c r="L77" s="13">
        <v>191714</v>
      </c>
      <c r="M77" s="13" t="s">
        <v>1301</v>
      </c>
      <c r="O77" s="13">
        <v>1</v>
      </c>
    </row>
    <row r="78" spans="1:17" s="13" customFormat="1" x14ac:dyDescent="0.25">
      <c r="A78" s="13">
        <v>8003879954</v>
      </c>
      <c r="B78" s="13">
        <v>14</v>
      </c>
      <c r="C78" s="13">
        <v>23102017</v>
      </c>
      <c r="D78" s="13">
        <v>341</v>
      </c>
      <c r="E78" s="13" t="s">
        <v>29</v>
      </c>
      <c r="F78" s="13">
        <v>9938</v>
      </c>
      <c r="G78" s="13" t="s">
        <v>1302</v>
      </c>
      <c r="H78" s="14">
        <v>3180</v>
      </c>
      <c r="I78" s="13" t="s">
        <v>28</v>
      </c>
      <c r="J78" s="14">
        <v>503059.21</v>
      </c>
      <c r="K78" s="13" t="s">
        <v>26</v>
      </c>
      <c r="L78" s="13">
        <v>191715</v>
      </c>
      <c r="M78" s="13" t="s">
        <v>1033</v>
      </c>
      <c r="O78" s="13">
        <v>1</v>
      </c>
      <c r="P78" s="13" t="s">
        <v>1303</v>
      </c>
      <c r="Q78" s="13" t="s">
        <v>1304</v>
      </c>
    </row>
    <row r="79" spans="1:17" s="13" customFormat="1" x14ac:dyDescent="0.25">
      <c r="A79" s="13">
        <v>8003879954</v>
      </c>
      <c r="B79" s="13">
        <v>13</v>
      </c>
      <c r="C79" s="13">
        <v>23102017</v>
      </c>
      <c r="D79" s="13">
        <v>299</v>
      </c>
      <c r="E79" s="13" t="s">
        <v>30</v>
      </c>
      <c r="F79" s="13">
        <v>9938</v>
      </c>
      <c r="G79" s="13" t="s">
        <v>1302</v>
      </c>
      <c r="H79" s="14">
        <v>0.01</v>
      </c>
      <c r="I79" s="13" t="s">
        <v>28</v>
      </c>
      <c r="J79" s="14">
        <v>506239.21</v>
      </c>
      <c r="K79" s="13" t="s">
        <v>26</v>
      </c>
      <c r="L79" s="13">
        <v>191715</v>
      </c>
      <c r="M79" s="13" t="s">
        <v>1305</v>
      </c>
      <c r="O79" s="13">
        <v>1</v>
      </c>
    </row>
    <row r="80" spans="1:17" s="13" customFormat="1" x14ac:dyDescent="0.25">
      <c r="A80" s="13">
        <v>8003879954</v>
      </c>
      <c r="B80" s="13">
        <v>12</v>
      </c>
      <c r="C80" s="13">
        <v>23102017</v>
      </c>
      <c r="D80" s="13">
        <v>489</v>
      </c>
      <c r="E80" s="13" t="s">
        <v>31</v>
      </c>
      <c r="F80" s="13">
        <v>9938</v>
      </c>
      <c r="G80" s="13" t="s">
        <v>1302</v>
      </c>
      <c r="H80" s="14">
        <v>0.1</v>
      </c>
      <c r="I80" s="13" t="s">
        <v>28</v>
      </c>
      <c r="J80" s="14">
        <v>506239.22</v>
      </c>
      <c r="K80" s="13" t="s">
        <v>26</v>
      </c>
      <c r="L80" s="13">
        <v>191715</v>
      </c>
      <c r="M80" s="13" t="s">
        <v>1305</v>
      </c>
      <c r="O80" s="13">
        <v>1</v>
      </c>
    </row>
    <row r="81" spans="1:17" s="13" customFormat="1" x14ac:dyDescent="0.25">
      <c r="A81" s="13">
        <v>8003879954</v>
      </c>
      <c r="B81" s="13">
        <v>11</v>
      </c>
      <c r="C81" s="13">
        <v>23102017</v>
      </c>
      <c r="D81" s="13">
        <v>341</v>
      </c>
      <c r="E81" s="13" t="s">
        <v>29</v>
      </c>
      <c r="F81" s="13">
        <v>9938</v>
      </c>
      <c r="G81" s="13" t="s">
        <v>1306</v>
      </c>
      <c r="H81" s="14">
        <v>1335.6</v>
      </c>
      <c r="I81" s="13" t="s">
        <v>28</v>
      </c>
      <c r="J81" s="14">
        <v>506239.32</v>
      </c>
      <c r="K81" s="13" t="s">
        <v>26</v>
      </c>
      <c r="L81" s="13">
        <v>191714</v>
      </c>
      <c r="M81" s="13" t="s">
        <v>113</v>
      </c>
      <c r="O81" s="13">
        <v>1</v>
      </c>
      <c r="P81" s="13" t="s">
        <v>1307</v>
      </c>
      <c r="Q81" s="13" t="s">
        <v>1308</v>
      </c>
    </row>
    <row r="82" spans="1:17" s="13" customFormat="1" x14ac:dyDescent="0.25">
      <c r="A82" s="13">
        <v>8003879954</v>
      </c>
      <c r="B82" s="13">
        <v>10</v>
      </c>
      <c r="C82" s="13">
        <v>23102017</v>
      </c>
      <c r="D82" s="13">
        <v>299</v>
      </c>
      <c r="E82" s="13" t="s">
        <v>30</v>
      </c>
      <c r="F82" s="13">
        <v>9938</v>
      </c>
      <c r="G82" s="13" t="s">
        <v>1306</v>
      </c>
      <c r="H82" s="14">
        <v>0.01</v>
      </c>
      <c r="I82" s="13" t="s">
        <v>28</v>
      </c>
      <c r="J82" s="14">
        <v>507574.92</v>
      </c>
      <c r="K82" s="13" t="s">
        <v>26</v>
      </c>
      <c r="L82" s="13">
        <v>191714</v>
      </c>
      <c r="M82" s="13" t="s">
        <v>1309</v>
      </c>
      <c r="O82" s="13">
        <v>1</v>
      </c>
    </row>
    <row r="83" spans="1:17" s="13" customFormat="1" x14ac:dyDescent="0.25">
      <c r="A83" s="13">
        <v>8003879954</v>
      </c>
      <c r="B83" s="13">
        <v>9</v>
      </c>
      <c r="C83" s="13">
        <v>23102017</v>
      </c>
      <c r="D83" s="13">
        <v>489</v>
      </c>
      <c r="E83" s="13" t="s">
        <v>31</v>
      </c>
      <c r="F83" s="13">
        <v>9938</v>
      </c>
      <c r="G83" s="13" t="s">
        <v>1306</v>
      </c>
      <c r="H83" s="14">
        <v>0.1</v>
      </c>
      <c r="I83" s="13" t="s">
        <v>28</v>
      </c>
      <c r="J83" s="14">
        <v>507574.93</v>
      </c>
      <c r="K83" s="13" t="s">
        <v>26</v>
      </c>
      <c r="L83" s="13">
        <v>191714</v>
      </c>
      <c r="M83" s="13" t="s">
        <v>1309</v>
      </c>
      <c r="O83" s="13">
        <v>1</v>
      </c>
    </row>
    <row r="84" spans="1:17" s="13" customFormat="1" x14ac:dyDescent="0.25">
      <c r="A84" s="13">
        <v>8003879954</v>
      </c>
      <c r="B84" s="13">
        <v>8</v>
      </c>
      <c r="C84" s="13">
        <v>23102017</v>
      </c>
      <c r="D84" s="13">
        <v>345</v>
      </c>
      <c r="E84" s="13" t="s">
        <v>27</v>
      </c>
      <c r="F84" s="13">
        <v>9938</v>
      </c>
      <c r="G84" s="13" t="s">
        <v>1310</v>
      </c>
      <c r="H84" s="14">
        <v>455.64</v>
      </c>
      <c r="I84" s="13" t="s">
        <v>28</v>
      </c>
      <c r="J84" s="14">
        <v>507575.03</v>
      </c>
      <c r="K84" s="13" t="s">
        <v>26</v>
      </c>
      <c r="L84" s="13">
        <v>191714</v>
      </c>
      <c r="M84" s="13" t="s">
        <v>940</v>
      </c>
      <c r="O84" s="13">
        <v>1</v>
      </c>
      <c r="P84" s="13" t="s">
        <v>1311</v>
      </c>
      <c r="Q84" s="13" t="s">
        <v>74</v>
      </c>
    </row>
    <row r="85" spans="1:17" s="13" customFormat="1" x14ac:dyDescent="0.25">
      <c r="A85" s="13">
        <v>8003879954</v>
      </c>
      <c r="B85" s="13">
        <v>7</v>
      </c>
      <c r="C85" s="13">
        <v>23102017</v>
      </c>
      <c r="D85" s="13">
        <v>341</v>
      </c>
      <c r="E85" s="13" t="s">
        <v>29</v>
      </c>
      <c r="F85" s="13">
        <v>9938</v>
      </c>
      <c r="G85" s="13" t="s">
        <v>1312</v>
      </c>
      <c r="H85" s="14">
        <v>150</v>
      </c>
      <c r="I85" s="13" t="s">
        <v>28</v>
      </c>
      <c r="J85" s="14">
        <v>508030.67</v>
      </c>
      <c r="K85" s="13" t="s">
        <v>26</v>
      </c>
      <c r="L85" s="13">
        <v>191714</v>
      </c>
      <c r="M85" s="13" t="s">
        <v>512</v>
      </c>
      <c r="O85" s="13">
        <v>1</v>
      </c>
      <c r="P85" s="13" t="s">
        <v>1313</v>
      </c>
      <c r="Q85" s="13" t="s">
        <v>1314</v>
      </c>
    </row>
    <row r="86" spans="1:17" s="13" customFormat="1" x14ac:dyDescent="0.25">
      <c r="A86" s="13">
        <v>8003879954</v>
      </c>
      <c r="B86" s="13">
        <v>6</v>
      </c>
      <c r="C86" s="13">
        <v>23102017</v>
      </c>
      <c r="D86" s="13">
        <v>299</v>
      </c>
      <c r="E86" s="13" t="s">
        <v>30</v>
      </c>
      <c r="F86" s="13">
        <v>9938</v>
      </c>
      <c r="G86" s="13" t="s">
        <v>1312</v>
      </c>
      <c r="H86" s="14">
        <v>0.01</v>
      </c>
      <c r="I86" s="13" t="s">
        <v>28</v>
      </c>
      <c r="J86" s="14">
        <v>508180.67</v>
      </c>
      <c r="K86" s="13" t="s">
        <v>26</v>
      </c>
      <c r="L86" s="13">
        <v>191714</v>
      </c>
      <c r="M86" s="13" t="s">
        <v>1315</v>
      </c>
      <c r="O86" s="13">
        <v>1</v>
      </c>
    </row>
    <row r="87" spans="1:17" s="13" customFormat="1" x14ac:dyDescent="0.25">
      <c r="A87" s="13">
        <v>8003879954</v>
      </c>
      <c r="B87" s="13">
        <v>5</v>
      </c>
      <c r="C87" s="13">
        <v>23102017</v>
      </c>
      <c r="D87" s="13">
        <v>489</v>
      </c>
      <c r="E87" s="13" t="s">
        <v>31</v>
      </c>
      <c r="F87" s="13">
        <v>9938</v>
      </c>
      <c r="G87" s="13" t="s">
        <v>1312</v>
      </c>
      <c r="H87" s="14">
        <v>0.1</v>
      </c>
      <c r="I87" s="13" t="s">
        <v>28</v>
      </c>
      <c r="J87" s="14">
        <v>508180.68</v>
      </c>
      <c r="K87" s="13" t="s">
        <v>26</v>
      </c>
      <c r="L87" s="13">
        <v>191714</v>
      </c>
      <c r="M87" s="13" t="s">
        <v>1315</v>
      </c>
      <c r="O87" s="13">
        <v>1</v>
      </c>
    </row>
    <row r="88" spans="1:17" s="13" customFormat="1" x14ac:dyDescent="0.25">
      <c r="A88" s="13">
        <v>8003879954</v>
      </c>
      <c r="B88" s="13">
        <v>4</v>
      </c>
      <c r="C88" s="13">
        <v>23102017</v>
      </c>
      <c r="D88" s="13">
        <v>341</v>
      </c>
      <c r="E88" s="13" t="s">
        <v>29</v>
      </c>
      <c r="F88" s="13">
        <v>9938</v>
      </c>
      <c r="G88" s="13" t="s">
        <v>1316</v>
      </c>
      <c r="H88" s="14">
        <v>556</v>
      </c>
      <c r="I88" s="13" t="s">
        <v>28</v>
      </c>
      <c r="J88" s="14">
        <v>508180.78</v>
      </c>
      <c r="K88" s="13" t="s">
        <v>26</v>
      </c>
      <c r="L88" s="13">
        <v>191714</v>
      </c>
      <c r="M88" s="13" t="s">
        <v>109</v>
      </c>
      <c r="O88" s="13">
        <v>1</v>
      </c>
      <c r="P88" s="13" t="s">
        <v>1317</v>
      </c>
      <c r="Q88" s="13" t="s">
        <v>1318</v>
      </c>
    </row>
    <row r="89" spans="1:17" s="13" customFormat="1" x14ac:dyDescent="0.25">
      <c r="A89" s="13">
        <v>8003879954</v>
      </c>
      <c r="B89" s="13">
        <v>3</v>
      </c>
      <c r="C89" s="13">
        <v>23102017</v>
      </c>
      <c r="D89" s="13">
        <v>299</v>
      </c>
      <c r="E89" s="13" t="s">
        <v>30</v>
      </c>
      <c r="F89" s="13">
        <v>9938</v>
      </c>
      <c r="G89" s="13" t="s">
        <v>1316</v>
      </c>
      <c r="H89" s="14">
        <v>0.01</v>
      </c>
      <c r="I89" s="13" t="s">
        <v>28</v>
      </c>
      <c r="J89" s="14">
        <v>508736.78</v>
      </c>
      <c r="K89" s="13" t="s">
        <v>26</v>
      </c>
      <c r="L89" s="13">
        <v>191714</v>
      </c>
      <c r="M89" s="13" t="s">
        <v>1319</v>
      </c>
      <c r="O89" s="13">
        <v>1</v>
      </c>
    </row>
    <row r="90" spans="1:17" s="13" customFormat="1" x14ac:dyDescent="0.25">
      <c r="A90" s="13">
        <v>8003879954</v>
      </c>
      <c r="B90" s="13">
        <v>2</v>
      </c>
      <c r="C90" s="13">
        <v>23102017</v>
      </c>
      <c r="D90" s="13">
        <v>489</v>
      </c>
      <c r="E90" s="13" t="s">
        <v>31</v>
      </c>
      <c r="F90" s="13">
        <v>9938</v>
      </c>
      <c r="G90" s="13" t="s">
        <v>1316</v>
      </c>
      <c r="H90" s="14">
        <v>0.1</v>
      </c>
      <c r="I90" s="13" t="s">
        <v>28</v>
      </c>
      <c r="J90" s="14">
        <v>508736.79</v>
      </c>
      <c r="K90" s="13" t="s">
        <v>26</v>
      </c>
      <c r="L90" s="13">
        <v>191714</v>
      </c>
      <c r="M90" s="13" t="s">
        <v>1319</v>
      </c>
      <c r="O90" s="13">
        <v>1</v>
      </c>
    </row>
    <row r="91" spans="1:17" s="13" customFormat="1" x14ac:dyDescent="0.25">
      <c r="A91" s="13">
        <v>8003879954</v>
      </c>
      <c r="B91" s="13">
        <v>1</v>
      </c>
      <c r="C91" s="13">
        <v>23102017</v>
      </c>
      <c r="D91" s="13">
        <v>60</v>
      </c>
      <c r="E91" s="13" t="s">
        <v>43</v>
      </c>
      <c r="F91" s="13">
        <v>9938</v>
      </c>
      <c r="G91" s="13" t="s">
        <v>1320</v>
      </c>
      <c r="H91" s="14">
        <v>9240</v>
      </c>
      <c r="I91" s="13" t="s">
        <v>28</v>
      </c>
      <c r="J91" s="14">
        <v>508736.89</v>
      </c>
      <c r="K91" s="13" t="s">
        <v>26</v>
      </c>
      <c r="L91" s="13">
        <v>191713</v>
      </c>
      <c r="M91" s="13" t="s">
        <v>1321</v>
      </c>
      <c r="O91" s="13">
        <v>1</v>
      </c>
      <c r="P91" s="13" t="s">
        <v>1307</v>
      </c>
      <c r="Q91" s="13" t="s">
        <v>1322</v>
      </c>
    </row>
    <row r="92" spans="1:17" s="13" customFormat="1" x14ac:dyDescent="0.25">
      <c r="A92" s="13">
        <v>8003879954</v>
      </c>
      <c r="B92" s="13">
        <v>6</v>
      </c>
      <c r="C92" s="13">
        <v>20102017</v>
      </c>
      <c r="D92" s="13">
        <v>299</v>
      </c>
      <c r="E92" s="13" t="s">
        <v>44</v>
      </c>
      <c r="F92" s="13">
        <v>141</v>
      </c>
      <c r="G92" s="13" t="s">
        <v>1323</v>
      </c>
      <c r="H92" s="14">
        <v>0.36</v>
      </c>
      <c r="I92" s="13" t="s">
        <v>28</v>
      </c>
      <c r="J92" s="14">
        <v>517976.89</v>
      </c>
      <c r="K92" s="13" t="s">
        <v>26</v>
      </c>
      <c r="L92" s="13">
        <v>123802</v>
      </c>
      <c r="M92" s="13" t="s">
        <v>1324</v>
      </c>
      <c r="O92" s="13">
        <v>1</v>
      </c>
    </row>
    <row r="93" spans="1:17" s="13" customFormat="1" x14ac:dyDescent="0.25">
      <c r="A93" s="13">
        <v>8003879954</v>
      </c>
      <c r="B93" s="13">
        <v>5</v>
      </c>
      <c r="C93" s="13">
        <v>20102017</v>
      </c>
      <c r="D93" s="13">
        <v>415</v>
      </c>
      <c r="E93" s="13" t="s">
        <v>34</v>
      </c>
      <c r="F93" s="13">
        <v>141</v>
      </c>
      <c r="G93" s="13" t="s">
        <v>1323</v>
      </c>
      <c r="H93" s="14">
        <v>6</v>
      </c>
      <c r="I93" s="13" t="s">
        <v>28</v>
      </c>
      <c r="J93" s="14">
        <v>517977.25</v>
      </c>
      <c r="K93" s="13" t="s">
        <v>26</v>
      </c>
      <c r="L93" s="13">
        <v>123802</v>
      </c>
      <c r="M93" s="13" t="s">
        <v>1324</v>
      </c>
      <c r="O93" s="13">
        <v>1</v>
      </c>
    </row>
    <row r="94" spans="1:17" s="13" customFormat="1" x14ac:dyDescent="0.25">
      <c r="A94" s="13">
        <v>8003879954</v>
      </c>
      <c r="B94" s="13">
        <v>4</v>
      </c>
      <c r="C94" s="13">
        <v>20102017</v>
      </c>
      <c r="D94" s="13">
        <v>349</v>
      </c>
      <c r="E94" s="13" t="s">
        <v>35</v>
      </c>
      <c r="F94" s="13">
        <v>141</v>
      </c>
      <c r="G94" s="13" t="s">
        <v>1323</v>
      </c>
      <c r="H94" s="14">
        <v>464.75</v>
      </c>
      <c r="I94" s="13" t="s">
        <v>28</v>
      </c>
      <c r="J94" s="14">
        <v>517983.25</v>
      </c>
      <c r="K94" s="13" t="s">
        <v>26</v>
      </c>
      <c r="L94" s="13">
        <v>123802</v>
      </c>
      <c r="M94" s="13" t="s">
        <v>1324</v>
      </c>
      <c r="O94" s="13">
        <v>1</v>
      </c>
    </row>
    <row r="95" spans="1:17" s="13" customFormat="1" x14ac:dyDescent="0.25">
      <c r="A95" s="13">
        <v>8003879954</v>
      </c>
      <c r="B95" s="13">
        <v>3</v>
      </c>
      <c r="C95" s="13">
        <v>20102017</v>
      </c>
      <c r="D95" s="13">
        <v>299</v>
      </c>
      <c r="E95" s="13" t="s">
        <v>44</v>
      </c>
      <c r="F95" s="13">
        <v>72</v>
      </c>
      <c r="G95" s="13" t="s">
        <v>1325</v>
      </c>
      <c r="H95" s="14">
        <v>1.8</v>
      </c>
      <c r="I95" s="13" t="s">
        <v>28</v>
      </c>
      <c r="J95" s="14">
        <v>518448</v>
      </c>
      <c r="K95" s="13" t="s">
        <v>26</v>
      </c>
      <c r="L95" s="13">
        <v>112854</v>
      </c>
      <c r="M95" s="13" t="s">
        <v>1326</v>
      </c>
      <c r="O95" s="13">
        <v>1</v>
      </c>
    </row>
    <row r="96" spans="1:17" s="13" customFormat="1" x14ac:dyDescent="0.25">
      <c r="A96" s="13">
        <v>8003879954</v>
      </c>
      <c r="B96" s="13">
        <v>2</v>
      </c>
      <c r="C96" s="13">
        <v>20102017</v>
      </c>
      <c r="D96" s="13">
        <v>415</v>
      </c>
      <c r="E96" s="13" t="s">
        <v>34</v>
      </c>
      <c r="F96" s="13">
        <v>72</v>
      </c>
      <c r="G96" s="13" t="s">
        <v>1325</v>
      </c>
      <c r="H96" s="14">
        <v>30</v>
      </c>
      <c r="I96" s="13" t="s">
        <v>28</v>
      </c>
      <c r="J96" s="14">
        <v>518449.8</v>
      </c>
      <c r="K96" s="13" t="s">
        <v>26</v>
      </c>
      <c r="L96" s="13">
        <v>112854</v>
      </c>
      <c r="M96" s="13" t="s">
        <v>1326</v>
      </c>
      <c r="O96" s="13">
        <v>1</v>
      </c>
    </row>
    <row r="97" spans="1:18" s="13" customFormat="1" x14ac:dyDescent="0.25">
      <c r="A97" s="13">
        <v>8003879954</v>
      </c>
      <c r="B97" s="13">
        <v>1</v>
      </c>
      <c r="C97" s="13">
        <v>20102017</v>
      </c>
      <c r="D97" s="13">
        <v>349</v>
      </c>
      <c r="E97" s="13" t="s">
        <v>35</v>
      </c>
      <c r="F97" s="13">
        <v>72</v>
      </c>
      <c r="G97" s="13" t="s">
        <v>1325</v>
      </c>
      <c r="H97" s="14">
        <v>127855.1</v>
      </c>
      <c r="I97" s="13" t="s">
        <v>28</v>
      </c>
      <c r="J97" s="14">
        <v>518479.8</v>
      </c>
      <c r="K97" s="13" t="s">
        <v>26</v>
      </c>
      <c r="L97" s="13">
        <v>112854</v>
      </c>
      <c r="M97" s="13" t="s">
        <v>1326</v>
      </c>
      <c r="O97" s="13">
        <v>1</v>
      </c>
    </row>
    <row r="98" spans="1:18" s="13" customFormat="1" x14ac:dyDescent="0.25">
      <c r="A98" s="13">
        <v>8003879954</v>
      </c>
      <c r="B98" s="13">
        <v>1</v>
      </c>
      <c r="C98" s="13">
        <v>19102017</v>
      </c>
      <c r="D98" s="13">
        <v>141</v>
      </c>
      <c r="E98" s="13" t="s">
        <v>36</v>
      </c>
      <c r="F98" s="13">
        <v>4847</v>
      </c>
      <c r="G98" s="13" t="s">
        <v>1327</v>
      </c>
      <c r="H98" s="14">
        <v>70.45</v>
      </c>
      <c r="I98" s="13" t="s">
        <v>26</v>
      </c>
      <c r="J98" s="14">
        <v>646334.9</v>
      </c>
      <c r="K98" s="13" t="s">
        <v>26</v>
      </c>
      <c r="L98" s="13">
        <v>164359</v>
      </c>
      <c r="M98" s="13" t="s">
        <v>53</v>
      </c>
      <c r="O98" s="13">
        <v>1</v>
      </c>
      <c r="P98" s="13" t="s">
        <v>1328</v>
      </c>
      <c r="Q98" s="13" t="s">
        <v>1328</v>
      </c>
      <c r="R98" s="13" t="s">
        <v>1050</v>
      </c>
    </row>
    <row r="99" spans="1:18" s="13" customFormat="1" x14ac:dyDescent="0.25">
      <c r="A99" s="13">
        <v>8003879954</v>
      </c>
      <c r="B99" s="13">
        <v>32</v>
      </c>
      <c r="C99" s="13">
        <v>17102017</v>
      </c>
      <c r="D99" s="13">
        <v>345</v>
      </c>
      <c r="E99" s="13" t="str">
        <f>"TR TO SAVINGS"</f>
        <v>TR TO SAVINGS</v>
      </c>
      <c r="F99" s="13">
        <v>9938</v>
      </c>
      <c r="G99" s="13" t="str">
        <f>"21988418"</f>
        <v>21988418</v>
      </c>
      <c r="H99" s="14">
        <v>8220.92</v>
      </c>
      <c r="I99" s="13" t="s">
        <v>28</v>
      </c>
      <c r="J99" s="14">
        <v>646264.44999999995</v>
      </c>
      <c r="K99" s="13" t="s">
        <v>26</v>
      </c>
      <c r="L99" s="13">
        <v>182457</v>
      </c>
      <c r="M99" s="13" t="str">
        <f>"ITB &amp; WTM YOON PAULINE"</f>
        <v>ITB &amp; WTM YOON PAULINE</v>
      </c>
      <c r="O99" s="13">
        <v>1</v>
      </c>
      <c r="P99" s="13" t="str">
        <f>"PGTEFT2682"</f>
        <v>PGTEFT2682</v>
      </c>
      <c r="Q99" s="13" t="str">
        <f>"CLAIMS"</f>
        <v>CLAIMS</v>
      </c>
    </row>
    <row r="100" spans="1:18" s="13" customFormat="1" x14ac:dyDescent="0.25">
      <c r="A100" s="13">
        <v>8003879954</v>
      </c>
      <c r="B100" s="13">
        <v>31</v>
      </c>
      <c r="C100" s="13">
        <v>17102017</v>
      </c>
      <c r="D100" s="13">
        <v>341</v>
      </c>
      <c r="E100" s="13" t="str">
        <f>"TR IBG"</f>
        <v>TR IBG</v>
      </c>
      <c r="F100" s="13">
        <v>9938</v>
      </c>
      <c r="G100" s="13" t="str">
        <f>"21988445"</f>
        <v>21988445</v>
      </c>
      <c r="H100" s="14">
        <v>1270.94</v>
      </c>
      <c r="I100" s="13" t="s">
        <v>28</v>
      </c>
      <c r="J100" s="14">
        <v>654485.37</v>
      </c>
      <c r="K100" s="13" t="s">
        <v>26</v>
      </c>
      <c r="L100" s="13">
        <v>182453</v>
      </c>
      <c r="M100" s="13" t="str">
        <f>"REDTONE TELECOMMUNIC"</f>
        <v>REDTONE TELECOMMUNIC</v>
      </c>
      <c r="O100" s="13">
        <v>1</v>
      </c>
      <c r="P100" s="13" t="str">
        <f>"PGTEFT2681"</f>
        <v>PGTEFT2681</v>
      </c>
      <c r="Q100" s="13" t="str">
        <f>"INV288872"</f>
        <v>INV288872</v>
      </c>
    </row>
    <row r="101" spans="1:18" s="13" customFormat="1" x14ac:dyDescent="0.25">
      <c r="A101" s="13">
        <v>8003879954</v>
      </c>
      <c r="B101" s="13">
        <v>30</v>
      </c>
      <c r="C101" s="13">
        <v>17102017</v>
      </c>
      <c r="D101" s="13">
        <v>299</v>
      </c>
      <c r="E101" s="13" t="str">
        <f>"GST"</f>
        <v>GST</v>
      </c>
      <c r="F101" s="13">
        <v>9938</v>
      </c>
      <c r="G101" s="13" t="str">
        <f>"21988445"</f>
        <v>21988445</v>
      </c>
      <c r="H101" s="14">
        <v>0.01</v>
      </c>
      <c r="I101" s="13" t="s">
        <v>28</v>
      </c>
      <c r="J101" s="14">
        <v>655756.31000000006</v>
      </c>
      <c r="K101" s="13" t="s">
        <v>26</v>
      </c>
      <c r="L101" s="13">
        <v>182453</v>
      </c>
      <c r="M101" s="13" t="str">
        <f>"PGTEFT2681          INV288872"</f>
        <v>PGTEFT2681          INV288872</v>
      </c>
      <c r="O101" s="13">
        <v>1</v>
      </c>
    </row>
    <row r="102" spans="1:18" s="13" customFormat="1" x14ac:dyDescent="0.25">
      <c r="A102" s="13">
        <v>8003879954</v>
      </c>
      <c r="B102" s="13">
        <v>29</v>
      </c>
      <c r="C102" s="13">
        <v>17102017</v>
      </c>
      <c r="D102" s="13">
        <v>489</v>
      </c>
      <c r="E102" s="13" t="str">
        <f>"OTHER TRANSFER FEE"</f>
        <v>OTHER TRANSFER FEE</v>
      </c>
      <c r="F102" s="13">
        <v>9938</v>
      </c>
      <c r="G102" s="13" t="str">
        <f>"21988445"</f>
        <v>21988445</v>
      </c>
      <c r="H102" s="14">
        <v>0.1</v>
      </c>
      <c r="I102" s="13" t="s">
        <v>28</v>
      </c>
      <c r="J102" s="14">
        <v>655756.31999999995</v>
      </c>
      <c r="K102" s="13" t="s">
        <v>26</v>
      </c>
      <c r="L102" s="13">
        <v>182453</v>
      </c>
      <c r="M102" s="13" t="str">
        <f>"PGTEFT2681          INV288872"</f>
        <v>PGTEFT2681          INV288872</v>
      </c>
      <c r="O102" s="13">
        <v>1</v>
      </c>
    </row>
    <row r="103" spans="1:18" s="13" customFormat="1" x14ac:dyDescent="0.25">
      <c r="A103" s="13">
        <v>8003879954</v>
      </c>
      <c r="B103" s="13">
        <v>28</v>
      </c>
      <c r="C103" s="13">
        <v>17102017</v>
      </c>
      <c r="D103" s="13">
        <v>345</v>
      </c>
      <c r="E103" s="13" t="str">
        <f>"TR TO SAVINGS"</f>
        <v>TR TO SAVINGS</v>
      </c>
      <c r="F103" s="13">
        <v>9938</v>
      </c>
      <c r="G103" s="13" t="str">
        <f>"21988507"</f>
        <v>21988507</v>
      </c>
      <c r="H103" s="14">
        <v>588.95000000000005</v>
      </c>
      <c r="I103" s="13" t="s">
        <v>28</v>
      </c>
      <c r="J103" s="14">
        <v>655756.42000000004</v>
      </c>
      <c r="K103" s="13" t="s">
        <v>26</v>
      </c>
      <c r="L103" s="13">
        <v>182456</v>
      </c>
      <c r="M103" s="13" t="str">
        <f>"PTE,KL &amp; ITE OOI CHOK YAN"</f>
        <v>PTE,KL &amp; ITE OOI CHOK YAN</v>
      </c>
      <c r="O103" s="13">
        <v>1</v>
      </c>
      <c r="P103" s="13" t="str">
        <f>"PGTEFT2680"</f>
        <v>PGTEFT2680</v>
      </c>
      <c r="Q103" s="13" t="str">
        <f>"CLAIMS"</f>
        <v>CLAIMS</v>
      </c>
    </row>
    <row r="104" spans="1:18" s="13" customFormat="1" x14ac:dyDescent="0.25">
      <c r="A104" s="13">
        <v>8003879954</v>
      </c>
      <c r="B104" s="13">
        <v>27</v>
      </c>
      <c r="C104" s="13">
        <v>17102017</v>
      </c>
      <c r="D104" s="13">
        <v>341</v>
      </c>
      <c r="E104" s="13" t="str">
        <f>"TR IBG"</f>
        <v>TR IBG</v>
      </c>
      <c r="F104" s="13">
        <v>9938</v>
      </c>
      <c r="G104" s="13" t="str">
        <f>"21988564"</f>
        <v>21988564</v>
      </c>
      <c r="H104" s="14">
        <v>3710</v>
      </c>
      <c r="I104" s="13" t="s">
        <v>28</v>
      </c>
      <c r="J104" s="14">
        <v>656345.37</v>
      </c>
      <c r="K104" s="13" t="s">
        <v>26</v>
      </c>
      <c r="L104" s="13">
        <v>182453</v>
      </c>
      <c r="M104" s="13" t="str">
        <f>"OPTIMAL MEDIA SDN BH"</f>
        <v>OPTIMAL MEDIA SDN BH</v>
      </c>
      <c r="O104" s="13">
        <v>1</v>
      </c>
      <c r="P104" s="13" t="str">
        <f>"PGTEFT2679"</f>
        <v>PGTEFT2679</v>
      </c>
      <c r="Q104" s="13" t="str">
        <f>"INV251"</f>
        <v>INV251</v>
      </c>
    </row>
    <row r="105" spans="1:18" s="13" customFormat="1" x14ac:dyDescent="0.25">
      <c r="A105" s="13">
        <v>8003879954</v>
      </c>
      <c r="B105" s="13">
        <v>26</v>
      </c>
      <c r="C105" s="13">
        <v>17102017</v>
      </c>
      <c r="D105" s="13">
        <v>299</v>
      </c>
      <c r="E105" s="13" t="str">
        <f>"GST"</f>
        <v>GST</v>
      </c>
      <c r="F105" s="13">
        <v>9938</v>
      </c>
      <c r="G105" s="13" t="str">
        <f>"21988564"</f>
        <v>21988564</v>
      </c>
      <c r="H105" s="14">
        <v>0.01</v>
      </c>
      <c r="I105" s="13" t="s">
        <v>28</v>
      </c>
      <c r="J105" s="14">
        <v>660055.37</v>
      </c>
      <c r="K105" s="13" t="s">
        <v>26</v>
      </c>
      <c r="L105" s="13">
        <v>182453</v>
      </c>
      <c r="M105" s="13" t="str">
        <f>"PGTEFT2679          INV251"</f>
        <v>PGTEFT2679          INV251</v>
      </c>
      <c r="O105" s="13">
        <v>1</v>
      </c>
    </row>
    <row r="106" spans="1:18" s="13" customFormat="1" x14ac:dyDescent="0.25">
      <c r="A106" s="13">
        <v>8003879954</v>
      </c>
      <c r="B106" s="13">
        <v>25</v>
      </c>
      <c r="C106" s="13">
        <v>17102017</v>
      </c>
      <c r="D106" s="13">
        <v>489</v>
      </c>
      <c r="E106" s="13" t="str">
        <f>"OTHER TRANSFER FEE"</f>
        <v>OTHER TRANSFER FEE</v>
      </c>
      <c r="F106" s="13">
        <v>9938</v>
      </c>
      <c r="G106" s="13" t="str">
        <f>"21988564"</f>
        <v>21988564</v>
      </c>
      <c r="H106" s="14">
        <v>0.1</v>
      </c>
      <c r="I106" s="13" t="s">
        <v>28</v>
      </c>
      <c r="J106" s="14">
        <v>660055.38</v>
      </c>
      <c r="K106" s="13" t="s">
        <v>26</v>
      </c>
      <c r="L106" s="13">
        <v>182453</v>
      </c>
      <c r="M106" s="13" t="str">
        <f>"PGTEFT2679          INV251"</f>
        <v>PGTEFT2679          INV251</v>
      </c>
      <c r="O106" s="13">
        <v>1</v>
      </c>
    </row>
    <row r="107" spans="1:18" s="13" customFormat="1" x14ac:dyDescent="0.25">
      <c r="A107" s="13">
        <v>8003879954</v>
      </c>
      <c r="B107" s="13">
        <v>24</v>
      </c>
      <c r="C107" s="13">
        <v>17102017</v>
      </c>
      <c r="D107" s="13">
        <v>341</v>
      </c>
      <c r="E107" s="13" t="str">
        <f>"TR IBG"</f>
        <v>TR IBG</v>
      </c>
      <c r="F107" s="13">
        <v>9938</v>
      </c>
      <c r="G107" s="13" t="str">
        <f>"21988364"</f>
        <v>21988364</v>
      </c>
      <c r="H107" s="14">
        <v>207.8</v>
      </c>
      <c r="I107" s="13" t="s">
        <v>28</v>
      </c>
      <c r="J107" s="14">
        <v>660055.48</v>
      </c>
      <c r="K107" s="13" t="s">
        <v>26</v>
      </c>
      <c r="L107" s="13">
        <v>182453</v>
      </c>
      <c r="M107" s="13" t="str">
        <f>"YTL COMMUNICATIONS S"</f>
        <v>YTL COMMUNICATIONS S</v>
      </c>
      <c r="O107" s="13">
        <v>1</v>
      </c>
      <c r="P107" s="13" t="str">
        <f>"PGTEFT2683"</f>
        <v>PGTEFT2683</v>
      </c>
      <c r="Q107" s="13" t="str">
        <f>"813783509 813783531"</f>
        <v>813783509 813783531</v>
      </c>
    </row>
    <row r="108" spans="1:18" s="13" customFormat="1" x14ac:dyDescent="0.25">
      <c r="A108" s="13">
        <v>8003879954</v>
      </c>
      <c r="B108" s="13">
        <v>23</v>
      </c>
      <c r="C108" s="13">
        <v>17102017</v>
      </c>
      <c r="D108" s="13">
        <v>299</v>
      </c>
      <c r="E108" s="13" t="str">
        <f>"GST"</f>
        <v>GST</v>
      </c>
      <c r="F108" s="13">
        <v>9938</v>
      </c>
      <c r="G108" s="13" t="str">
        <f>"21988364"</f>
        <v>21988364</v>
      </c>
      <c r="H108" s="14">
        <v>0.01</v>
      </c>
      <c r="I108" s="13" t="s">
        <v>28</v>
      </c>
      <c r="J108" s="14">
        <v>660263.28</v>
      </c>
      <c r="K108" s="13" t="s">
        <v>26</v>
      </c>
      <c r="L108" s="13">
        <v>182453</v>
      </c>
      <c r="M108" s="13" t="str">
        <f>"PGTEFT2683          813783509 813783531"</f>
        <v>PGTEFT2683          813783509 813783531</v>
      </c>
      <c r="O108" s="13">
        <v>1</v>
      </c>
    </row>
    <row r="109" spans="1:18" s="13" customFormat="1" x14ac:dyDescent="0.25">
      <c r="A109" s="13">
        <v>8003879954</v>
      </c>
      <c r="B109" s="13">
        <v>22</v>
      </c>
      <c r="C109" s="13">
        <v>17102017</v>
      </c>
      <c r="D109" s="13">
        <v>489</v>
      </c>
      <c r="E109" s="13" t="str">
        <f>"OTHER TRANSFER FEE"</f>
        <v>OTHER TRANSFER FEE</v>
      </c>
      <c r="F109" s="13">
        <v>9938</v>
      </c>
      <c r="G109" s="13" t="str">
        <f>"21988364"</f>
        <v>21988364</v>
      </c>
      <c r="H109" s="14">
        <v>0.1</v>
      </c>
      <c r="I109" s="13" t="s">
        <v>28</v>
      </c>
      <c r="J109" s="14">
        <v>660263.29</v>
      </c>
      <c r="K109" s="13" t="s">
        <v>26</v>
      </c>
      <c r="L109" s="13">
        <v>182453</v>
      </c>
      <c r="M109" s="13" t="str">
        <f>"PGTEFT2683          813783509 813783531"</f>
        <v>PGTEFT2683          813783509 813783531</v>
      </c>
      <c r="O109" s="13">
        <v>1</v>
      </c>
    </row>
    <row r="110" spans="1:18" s="13" customFormat="1" x14ac:dyDescent="0.25">
      <c r="A110" s="13">
        <v>8003879954</v>
      </c>
      <c r="B110" s="13">
        <v>21</v>
      </c>
      <c r="C110" s="13">
        <v>17102017</v>
      </c>
      <c r="D110" s="13">
        <v>341</v>
      </c>
      <c r="E110" s="13" t="str">
        <f>"TR IBG"</f>
        <v>TR IBG</v>
      </c>
      <c r="F110" s="13">
        <v>9938</v>
      </c>
      <c r="G110" s="13" t="str">
        <f>"21989446"</f>
        <v>21989446</v>
      </c>
      <c r="H110" s="14">
        <v>1590</v>
      </c>
      <c r="I110" s="13" t="s">
        <v>28</v>
      </c>
      <c r="J110" s="14">
        <v>660263.39</v>
      </c>
      <c r="K110" s="13" t="s">
        <v>26</v>
      </c>
      <c r="L110" s="13">
        <v>182246</v>
      </c>
      <c r="M110" s="13" t="str">
        <f>"BOLD INSPIRATION SDN"</f>
        <v>BOLD INSPIRATION SDN</v>
      </c>
      <c r="O110" s="13">
        <v>1</v>
      </c>
      <c r="P110" s="13" t="str">
        <f>"PGTEFT2670"</f>
        <v>PGTEFT2670</v>
      </c>
      <c r="Q110" s="13" t="str">
        <f>"JN0388"</f>
        <v>JN0388</v>
      </c>
    </row>
    <row r="111" spans="1:18" s="13" customFormat="1" x14ac:dyDescent="0.25">
      <c r="A111" s="13">
        <v>8003879954</v>
      </c>
      <c r="B111" s="13">
        <v>20</v>
      </c>
      <c r="C111" s="13">
        <v>17102017</v>
      </c>
      <c r="D111" s="13">
        <v>299</v>
      </c>
      <c r="E111" s="13" t="str">
        <f>"GST"</f>
        <v>GST</v>
      </c>
      <c r="F111" s="13">
        <v>9938</v>
      </c>
      <c r="G111" s="13" t="str">
        <f>"21989446"</f>
        <v>21989446</v>
      </c>
      <c r="H111" s="14">
        <v>0.01</v>
      </c>
      <c r="I111" s="13" t="s">
        <v>28</v>
      </c>
      <c r="J111" s="14">
        <v>661853.39</v>
      </c>
      <c r="K111" s="13" t="s">
        <v>26</v>
      </c>
      <c r="L111" s="13">
        <v>182246</v>
      </c>
      <c r="M111" s="13" t="str">
        <f>"PGTEFT2670          JN0388"</f>
        <v>PGTEFT2670          JN0388</v>
      </c>
      <c r="O111" s="13">
        <v>1</v>
      </c>
    </row>
    <row r="112" spans="1:18" s="13" customFormat="1" x14ac:dyDescent="0.25">
      <c r="A112" s="13">
        <v>8003879954</v>
      </c>
      <c r="B112" s="13">
        <v>19</v>
      </c>
      <c r="C112" s="13">
        <v>17102017</v>
      </c>
      <c r="D112" s="13">
        <v>489</v>
      </c>
      <c r="E112" s="13" t="str">
        <f>"OTHER TRANSFER FEE"</f>
        <v>OTHER TRANSFER FEE</v>
      </c>
      <c r="F112" s="13">
        <v>9938</v>
      </c>
      <c r="G112" s="13" t="str">
        <f>"21989446"</f>
        <v>21989446</v>
      </c>
      <c r="H112" s="14">
        <v>0.1</v>
      </c>
      <c r="I112" s="13" t="s">
        <v>28</v>
      </c>
      <c r="J112" s="14">
        <v>661853.4</v>
      </c>
      <c r="K112" s="13" t="s">
        <v>26</v>
      </c>
      <c r="L112" s="13">
        <v>182246</v>
      </c>
      <c r="M112" s="13" t="str">
        <f>"PGTEFT2670          JN0388"</f>
        <v>PGTEFT2670          JN0388</v>
      </c>
      <c r="O112" s="13">
        <v>1</v>
      </c>
    </row>
    <row r="113" spans="1:17" s="13" customFormat="1" x14ac:dyDescent="0.25">
      <c r="A113" s="13">
        <v>8003879954</v>
      </c>
      <c r="B113" s="13">
        <v>18</v>
      </c>
      <c r="C113" s="13">
        <v>17102017</v>
      </c>
      <c r="D113" s="13">
        <v>60</v>
      </c>
      <c r="E113" s="13" t="str">
        <f>"TR TO C/A"</f>
        <v>TR TO C/A</v>
      </c>
      <c r="F113" s="13">
        <v>9938</v>
      </c>
      <c r="G113" s="13" t="str">
        <f>"21989510"</f>
        <v>21989510</v>
      </c>
      <c r="H113" s="14">
        <v>360.4</v>
      </c>
      <c r="I113" s="13" t="s">
        <v>28</v>
      </c>
      <c r="J113" s="14">
        <v>661853.5</v>
      </c>
      <c r="K113" s="13" t="s">
        <v>26</v>
      </c>
      <c r="L113" s="13">
        <v>182243</v>
      </c>
      <c r="M113" s="13" t="str">
        <f>"ACCOUNT - SEPT'17 CORPORATENET SDN BH"</f>
        <v>ACCOUNT - SEPT'17 CORPORATENET SDN BH</v>
      </c>
      <c r="O113" s="13">
        <v>1</v>
      </c>
      <c r="P113" s="13" t="str">
        <f>"PGTEFT2669"</f>
        <v>PGTEFT2669</v>
      </c>
      <c r="Q113" s="13" t="str">
        <f>"CNET-17-2811"</f>
        <v>CNET-17-2811</v>
      </c>
    </row>
    <row r="114" spans="1:17" s="13" customFormat="1" x14ac:dyDescent="0.25">
      <c r="A114" s="13">
        <v>8003879954</v>
      </c>
      <c r="B114" s="13">
        <v>17</v>
      </c>
      <c r="C114" s="13">
        <v>17102017</v>
      </c>
      <c r="D114" s="13">
        <v>341</v>
      </c>
      <c r="E114" s="13" t="str">
        <f>"TR IBG"</f>
        <v>TR IBG</v>
      </c>
      <c r="F114" s="13">
        <v>9938</v>
      </c>
      <c r="G114" s="13" t="str">
        <f>"21988818"</f>
        <v>21988818</v>
      </c>
      <c r="H114" s="14">
        <v>4551.1400000000003</v>
      </c>
      <c r="I114" s="13" t="s">
        <v>28</v>
      </c>
      <c r="J114" s="14">
        <v>662213.9</v>
      </c>
      <c r="K114" s="13" t="s">
        <v>26</v>
      </c>
      <c r="L114" s="13">
        <v>182244</v>
      </c>
      <c r="M114" s="13" t="str">
        <f>"HARPERS TRAVEL (M) S"</f>
        <v>HARPERS TRAVEL (M) S</v>
      </c>
      <c r="O114" s="13">
        <v>1</v>
      </c>
      <c r="P114" s="13" t="str">
        <f>"PGTEFT2674"</f>
        <v>PGTEFT2674</v>
      </c>
      <c r="Q114" s="13" t="str">
        <f>"HPT0012685"</f>
        <v>HPT0012685</v>
      </c>
    </row>
    <row r="115" spans="1:17" s="13" customFormat="1" x14ac:dyDescent="0.25">
      <c r="A115" s="13">
        <v>8003879954</v>
      </c>
      <c r="B115" s="13">
        <v>16</v>
      </c>
      <c r="C115" s="13">
        <v>17102017</v>
      </c>
      <c r="D115" s="13">
        <v>299</v>
      </c>
      <c r="E115" s="13" t="str">
        <f>"GST"</f>
        <v>GST</v>
      </c>
      <c r="F115" s="13">
        <v>9938</v>
      </c>
      <c r="G115" s="13" t="str">
        <f>"21988818"</f>
        <v>21988818</v>
      </c>
      <c r="H115" s="14">
        <v>0.01</v>
      </c>
      <c r="I115" s="13" t="s">
        <v>28</v>
      </c>
      <c r="J115" s="14">
        <v>666765.04</v>
      </c>
      <c r="K115" s="13" t="s">
        <v>26</v>
      </c>
      <c r="L115" s="13">
        <v>182244</v>
      </c>
      <c r="M115" s="13" t="str">
        <f>"PGTEFT2674          HPT0012685"</f>
        <v>PGTEFT2674          HPT0012685</v>
      </c>
      <c r="O115" s="13">
        <v>1</v>
      </c>
    </row>
    <row r="116" spans="1:17" s="13" customFormat="1" x14ac:dyDescent="0.25">
      <c r="A116" s="13">
        <v>8003879954</v>
      </c>
      <c r="B116" s="13">
        <v>15</v>
      </c>
      <c r="C116" s="13">
        <v>17102017</v>
      </c>
      <c r="D116" s="13">
        <v>489</v>
      </c>
      <c r="E116" s="13" t="str">
        <f>"OTHER TRANSFER FEE"</f>
        <v>OTHER TRANSFER FEE</v>
      </c>
      <c r="F116" s="13">
        <v>9938</v>
      </c>
      <c r="G116" s="13" t="str">
        <f>"21988818"</f>
        <v>21988818</v>
      </c>
      <c r="H116" s="14">
        <v>0.1</v>
      </c>
      <c r="I116" s="13" t="s">
        <v>28</v>
      </c>
      <c r="J116" s="14">
        <v>666765.05000000005</v>
      </c>
      <c r="K116" s="13" t="s">
        <v>26</v>
      </c>
      <c r="L116" s="13">
        <v>182244</v>
      </c>
      <c r="M116" s="13" t="str">
        <f>"PGTEFT2674          HPT0012685"</f>
        <v>PGTEFT2674          HPT0012685</v>
      </c>
      <c r="O116" s="13">
        <v>1</v>
      </c>
    </row>
    <row r="117" spans="1:17" s="13" customFormat="1" x14ac:dyDescent="0.25">
      <c r="A117" s="13">
        <v>8003879954</v>
      </c>
      <c r="B117" s="13">
        <v>14</v>
      </c>
      <c r="C117" s="13">
        <v>17102017</v>
      </c>
      <c r="D117" s="13">
        <v>341</v>
      </c>
      <c r="E117" s="13" t="str">
        <f>"TR IBG"</f>
        <v>TR IBG</v>
      </c>
      <c r="F117" s="13">
        <v>9938</v>
      </c>
      <c r="G117" s="13" t="str">
        <f>"21988635"</f>
        <v>21988635</v>
      </c>
      <c r="H117" s="14">
        <v>2000</v>
      </c>
      <c r="I117" s="13" t="s">
        <v>28</v>
      </c>
      <c r="J117" s="14">
        <v>666765.15</v>
      </c>
      <c r="K117" s="13" t="s">
        <v>26</v>
      </c>
      <c r="L117" s="13">
        <v>182244</v>
      </c>
      <c r="M117" s="13" t="str">
        <f>"MAJLIS KEBUDAYAAN NE"</f>
        <v>MAJLIS KEBUDAYAAN NE</v>
      </c>
      <c r="O117" s="13">
        <v>1</v>
      </c>
      <c r="P117" s="13" t="str">
        <f>"PGTEFT2678"</f>
        <v>PGTEFT2678</v>
      </c>
      <c r="Q117" s="13" t="str">
        <f>"WELCOMING RECEPTION"</f>
        <v>WELCOMING RECEPTION</v>
      </c>
    </row>
    <row r="118" spans="1:17" s="13" customFormat="1" x14ac:dyDescent="0.25">
      <c r="A118" s="13">
        <v>8003879954</v>
      </c>
      <c r="B118" s="13">
        <v>13</v>
      </c>
      <c r="C118" s="13">
        <v>17102017</v>
      </c>
      <c r="D118" s="13">
        <v>299</v>
      </c>
      <c r="E118" s="13" t="str">
        <f>"GST"</f>
        <v>GST</v>
      </c>
      <c r="F118" s="13">
        <v>9938</v>
      </c>
      <c r="G118" s="13" t="str">
        <f>"21988635"</f>
        <v>21988635</v>
      </c>
      <c r="H118" s="14">
        <v>0.01</v>
      </c>
      <c r="I118" s="13" t="s">
        <v>28</v>
      </c>
      <c r="J118" s="14">
        <v>668765.15</v>
      </c>
      <c r="K118" s="13" t="s">
        <v>26</v>
      </c>
      <c r="L118" s="13">
        <v>182244</v>
      </c>
      <c r="M118" s="13" t="str">
        <f>"PGTEFT2678          WELCOMING RECEPTION"</f>
        <v>PGTEFT2678          WELCOMING RECEPTION</v>
      </c>
      <c r="O118" s="13">
        <v>1</v>
      </c>
    </row>
    <row r="119" spans="1:17" s="13" customFormat="1" x14ac:dyDescent="0.25">
      <c r="A119" s="13">
        <v>8003879954</v>
      </c>
      <c r="B119" s="13">
        <v>12</v>
      </c>
      <c r="C119" s="13">
        <v>17102017</v>
      </c>
      <c r="D119" s="13">
        <v>489</v>
      </c>
      <c r="E119" s="13" t="str">
        <f>"OTHER TRANSFER FEE"</f>
        <v>OTHER TRANSFER FEE</v>
      </c>
      <c r="F119" s="13">
        <v>9938</v>
      </c>
      <c r="G119" s="13" t="str">
        <f>"21988635"</f>
        <v>21988635</v>
      </c>
      <c r="H119" s="14">
        <v>0.1</v>
      </c>
      <c r="I119" s="13" t="s">
        <v>28</v>
      </c>
      <c r="J119" s="14">
        <v>668765.16</v>
      </c>
      <c r="K119" s="13" t="s">
        <v>26</v>
      </c>
      <c r="L119" s="13">
        <v>182244</v>
      </c>
      <c r="M119" s="13" t="str">
        <f>"PGTEFT2678          WELCOMING RECEPTION"</f>
        <v>PGTEFT2678          WELCOMING RECEPTION</v>
      </c>
      <c r="O119" s="13">
        <v>1</v>
      </c>
    </row>
    <row r="120" spans="1:17" s="13" customFormat="1" x14ac:dyDescent="0.25">
      <c r="A120" s="13">
        <v>8003879954</v>
      </c>
      <c r="B120" s="13">
        <v>11</v>
      </c>
      <c r="C120" s="13">
        <v>17102017</v>
      </c>
      <c r="D120" s="13">
        <v>60</v>
      </c>
      <c r="E120" s="13" t="str">
        <f>"TR TO C/A"</f>
        <v>TR TO C/A</v>
      </c>
      <c r="F120" s="13">
        <v>9938</v>
      </c>
      <c r="G120" s="13" t="str">
        <f>"21989266"</f>
        <v>21989266</v>
      </c>
      <c r="H120" s="14">
        <v>2000</v>
      </c>
      <c r="I120" s="13" t="s">
        <v>28</v>
      </c>
      <c r="J120" s="14">
        <v>668765.26</v>
      </c>
      <c r="K120" s="13" t="s">
        <v>26</v>
      </c>
      <c r="L120" s="13">
        <v>182244</v>
      </c>
      <c r="M120" s="13" t="str">
        <f>"GEORGE TOWN HERITAG"</f>
        <v>GEORGE TOWN HERITAG</v>
      </c>
      <c r="O120" s="13">
        <v>1</v>
      </c>
      <c r="P120" s="13" t="str">
        <f>"PGTEFT2672"</f>
        <v>PGTEFT2672</v>
      </c>
      <c r="Q120" s="13" t="str">
        <f>"REFUND OF ITF 2017"</f>
        <v>REFUND OF ITF 2017</v>
      </c>
    </row>
    <row r="121" spans="1:17" s="13" customFormat="1" x14ac:dyDescent="0.25">
      <c r="A121" s="13">
        <v>8003879954</v>
      </c>
      <c r="B121" s="13">
        <v>10</v>
      </c>
      <c r="C121" s="13">
        <v>17102017</v>
      </c>
      <c r="D121" s="13">
        <v>60</v>
      </c>
      <c r="E121" s="13" t="str">
        <f>"TR TO C/A"</f>
        <v>TR TO C/A</v>
      </c>
      <c r="F121" s="13">
        <v>9938</v>
      </c>
      <c r="G121" s="13" t="str">
        <f>"21988725"</f>
        <v>21988725</v>
      </c>
      <c r="H121" s="14">
        <v>2631.5</v>
      </c>
      <c r="I121" s="13" t="s">
        <v>28</v>
      </c>
      <c r="J121" s="14">
        <v>670765.26</v>
      </c>
      <c r="K121" s="13" t="s">
        <v>26</v>
      </c>
      <c r="L121" s="13">
        <v>182243</v>
      </c>
      <c r="M121" s="13" t="str">
        <f>"ITE &amp; PCET MARY ANN HARRIS"</f>
        <v>ITE &amp; PCET MARY ANN HARRIS</v>
      </c>
      <c r="O121" s="13">
        <v>1</v>
      </c>
      <c r="P121" s="13" t="str">
        <f>"PGTEFT2676"</f>
        <v>PGTEFT2676</v>
      </c>
      <c r="Q121" s="13" t="str">
        <f>"CLAIMS"</f>
        <v>CLAIMS</v>
      </c>
    </row>
    <row r="122" spans="1:17" s="13" customFormat="1" x14ac:dyDescent="0.25">
      <c r="A122" s="13">
        <v>8003879954</v>
      </c>
      <c r="B122" s="13">
        <v>9</v>
      </c>
      <c r="C122" s="13">
        <v>17102017</v>
      </c>
      <c r="D122" s="13">
        <v>345</v>
      </c>
      <c r="E122" s="13" t="str">
        <f>"TR TO SAVINGS"</f>
        <v>TR TO SAVINGS</v>
      </c>
      <c r="F122" s="13">
        <v>9938</v>
      </c>
      <c r="G122" s="13" t="str">
        <f>"21988685"</f>
        <v>21988685</v>
      </c>
      <c r="H122" s="14">
        <v>6607.86</v>
      </c>
      <c r="I122" s="13" t="s">
        <v>28</v>
      </c>
      <c r="J122" s="14">
        <v>673396.76</v>
      </c>
      <c r="K122" s="13" t="s">
        <v>26</v>
      </c>
      <c r="L122" s="13">
        <v>182243</v>
      </c>
      <c r="M122" s="13" t="str">
        <f>"WTCF LA NEOH SUAT HOON"</f>
        <v>WTCF LA NEOH SUAT HOON</v>
      </c>
      <c r="O122" s="13">
        <v>1</v>
      </c>
      <c r="P122" s="13" t="str">
        <f>"PGTEFT2677"</f>
        <v>PGTEFT2677</v>
      </c>
      <c r="Q122" s="13" t="str">
        <f>"CLAIMS"</f>
        <v>CLAIMS</v>
      </c>
    </row>
    <row r="123" spans="1:17" s="13" customFormat="1" x14ac:dyDescent="0.25">
      <c r="A123" s="13">
        <v>8003879954</v>
      </c>
      <c r="B123" s="13">
        <v>8</v>
      </c>
      <c r="C123" s="13">
        <v>17102017</v>
      </c>
      <c r="D123" s="13">
        <v>341</v>
      </c>
      <c r="E123" s="13" t="str">
        <f>"TR IBG"</f>
        <v>TR IBG</v>
      </c>
      <c r="F123" s="13">
        <v>9938</v>
      </c>
      <c r="G123" s="13" t="str">
        <f>"21988884"</f>
        <v>21988884</v>
      </c>
      <c r="H123" s="14">
        <v>9029.16</v>
      </c>
      <c r="I123" s="13" t="s">
        <v>28</v>
      </c>
      <c r="J123" s="14">
        <v>680004.62</v>
      </c>
      <c r="K123" s="13" t="s">
        <v>26</v>
      </c>
      <c r="L123" s="13">
        <v>182243</v>
      </c>
      <c r="M123" s="13" t="str">
        <f>"FTZ TRAVEL &amp; TOURS S"</f>
        <v>FTZ TRAVEL &amp; TOURS S</v>
      </c>
      <c r="O123" s="13">
        <v>1</v>
      </c>
      <c r="P123" s="13" t="str">
        <f>"PGTEFT2673"</f>
        <v>PGTEFT2673</v>
      </c>
      <c r="Q123" s="13" t="str">
        <f>"P15221 P15226 P15356"</f>
        <v>P15221 P15226 P15356</v>
      </c>
    </row>
    <row r="124" spans="1:17" s="13" customFormat="1" x14ac:dyDescent="0.25">
      <c r="A124" s="13">
        <v>8003879954</v>
      </c>
      <c r="B124" s="13">
        <v>7</v>
      </c>
      <c r="C124" s="13">
        <v>17102017</v>
      </c>
      <c r="D124" s="13">
        <v>299</v>
      </c>
      <c r="E124" s="13" t="str">
        <f>"GST"</f>
        <v>GST</v>
      </c>
      <c r="F124" s="13">
        <v>9938</v>
      </c>
      <c r="G124" s="13" t="str">
        <f>"21988884"</f>
        <v>21988884</v>
      </c>
      <c r="H124" s="14">
        <v>0.01</v>
      </c>
      <c r="I124" s="13" t="s">
        <v>28</v>
      </c>
      <c r="J124" s="14">
        <v>689033.78</v>
      </c>
      <c r="K124" s="13" t="s">
        <v>26</v>
      </c>
      <c r="L124" s="13">
        <v>182243</v>
      </c>
      <c r="M124" s="13" t="str">
        <f>"PGTEFT2673          P15221 P15226 P15356"</f>
        <v>PGTEFT2673          P15221 P15226 P15356</v>
      </c>
      <c r="O124" s="13">
        <v>1</v>
      </c>
    </row>
    <row r="125" spans="1:17" s="13" customFormat="1" x14ac:dyDescent="0.25">
      <c r="A125" s="13">
        <v>8003879954</v>
      </c>
      <c r="B125" s="13">
        <v>6</v>
      </c>
      <c r="C125" s="13">
        <v>17102017</v>
      </c>
      <c r="D125" s="13">
        <v>489</v>
      </c>
      <c r="E125" s="13" t="str">
        <f>"OTHER TRANSFER FEE"</f>
        <v>OTHER TRANSFER FEE</v>
      </c>
      <c r="F125" s="13">
        <v>9938</v>
      </c>
      <c r="G125" s="13" t="str">
        <f>"21988884"</f>
        <v>21988884</v>
      </c>
      <c r="H125" s="14">
        <v>0.1</v>
      </c>
      <c r="I125" s="13" t="s">
        <v>28</v>
      </c>
      <c r="J125" s="14">
        <v>689033.79</v>
      </c>
      <c r="K125" s="13" t="s">
        <v>26</v>
      </c>
      <c r="L125" s="13">
        <v>182243</v>
      </c>
      <c r="M125" s="13" t="str">
        <f>"PGTEFT2673          P15221 P15226 P15356"</f>
        <v>PGTEFT2673          P15221 P15226 P15356</v>
      </c>
      <c r="O125" s="13">
        <v>1</v>
      </c>
    </row>
    <row r="126" spans="1:17" s="13" customFormat="1" x14ac:dyDescent="0.25">
      <c r="A126" s="13">
        <v>8003879954</v>
      </c>
      <c r="B126" s="13">
        <v>5</v>
      </c>
      <c r="C126" s="13">
        <v>17102017</v>
      </c>
      <c r="D126" s="13">
        <v>341</v>
      </c>
      <c r="E126" s="13" t="str">
        <f>"TR IBG"</f>
        <v>TR IBG</v>
      </c>
      <c r="F126" s="13">
        <v>9938</v>
      </c>
      <c r="G126" s="13" t="str">
        <f>"21989371"</f>
        <v>21989371</v>
      </c>
      <c r="H126" s="14">
        <v>339.2</v>
      </c>
      <c r="I126" s="13" t="s">
        <v>28</v>
      </c>
      <c r="J126" s="14">
        <v>689033.89</v>
      </c>
      <c r="K126" s="13" t="s">
        <v>26</v>
      </c>
      <c r="L126" s="13">
        <v>182243</v>
      </c>
      <c r="M126" s="13" t="str">
        <f>"FUJI XEROX ASIA PACI"</f>
        <v>FUJI XEROX ASIA PACI</v>
      </c>
      <c r="O126" s="13">
        <v>1</v>
      </c>
      <c r="P126" s="13" t="str">
        <f>"PGTEFT2672"</f>
        <v>PGTEFT2672</v>
      </c>
      <c r="Q126" s="13" t="str">
        <f>"ACC 316057"</f>
        <v>ACC 316057</v>
      </c>
    </row>
    <row r="127" spans="1:17" s="13" customFormat="1" x14ac:dyDescent="0.25">
      <c r="A127" s="13">
        <v>8003879954</v>
      </c>
      <c r="B127" s="13">
        <v>4</v>
      </c>
      <c r="C127" s="13">
        <v>17102017</v>
      </c>
      <c r="D127" s="13">
        <v>299</v>
      </c>
      <c r="E127" s="13" t="str">
        <f>"GST"</f>
        <v>GST</v>
      </c>
      <c r="F127" s="13">
        <v>9938</v>
      </c>
      <c r="G127" s="13" t="str">
        <f>"21989371"</f>
        <v>21989371</v>
      </c>
      <c r="H127" s="14">
        <v>0.01</v>
      </c>
      <c r="I127" s="13" t="s">
        <v>28</v>
      </c>
      <c r="J127" s="14">
        <v>689373.09</v>
      </c>
      <c r="K127" s="13" t="s">
        <v>26</v>
      </c>
      <c r="L127" s="13">
        <v>182243</v>
      </c>
      <c r="M127" s="13" t="str">
        <f>"PGTEFT2672          ACC 316057"</f>
        <v>PGTEFT2672          ACC 316057</v>
      </c>
      <c r="O127" s="13">
        <v>1</v>
      </c>
    </row>
    <row r="128" spans="1:17" s="13" customFormat="1" x14ac:dyDescent="0.25">
      <c r="A128" s="13">
        <v>8003879954</v>
      </c>
      <c r="B128" s="13">
        <v>3</v>
      </c>
      <c r="C128" s="13">
        <v>17102017</v>
      </c>
      <c r="D128" s="13">
        <v>489</v>
      </c>
      <c r="E128" s="13" t="str">
        <f>"OTHER TRANSFER FEE"</f>
        <v>OTHER TRANSFER FEE</v>
      </c>
      <c r="F128" s="13">
        <v>9938</v>
      </c>
      <c r="G128" s="13" t="str">
        <f>"21989371"</f>
        <v>21989371</v>
      </c>
      <c r="H128" s="14">
        <v>0.1</v>
      </c>
      <c r="I128" s="13" t="s">
        <v>28</v>
      </c>
      <c r="J128" s="14">
        <v>689373.1</v>
      </c>
      <c r="K128" s="13" t="s">
        <v>26</v>
      </c>
      <c r="L128" s="13">
        <v>182243</v>
      </c>
      <c r="M128" s="13" t="str">
        <f>"PGTEFT2672          ACC 316057"</f>
        <v>PGTEFT2672          ACC 316057</v>
      </c>
      <c r="O128" s="13">
        <v>1</v>
      </c>
    </row>
    <row r="129" spans="1:18" s="13" customFormat="1" x14ac:dyDescent="0.25">
      <c r="A129" s="13">
        <v>8003879954</v>
      </c>
      <c r="B129" s="13">
        <v>2</v>
      </c>
      <c r="C129" s="13">
        <v>17102017</v>
      </c>
      <c r="D129" s="13">
        <v>60</v>
      </c>
      <c r="E129" s="13" t="str">
        <f>"TR TO C/A"</f>
        <v>TR TO C/A</v>
      </c>
      <c r="F129" s="13">
        <v>9938</v>
      </c>
      <c r="G129" s="13" t="str">
        <f>"21988777"</f>
        <v>21988777</v>
      </c>
      <c r="H129" s="14">
        <v>180</v>
      </c>
      <c r="I129" s="13" t="s">
        <v>28</v>
      </c>
      <c r="J129" s="14">
        <v>689373.2</v>
      </c>
      <c r="K129" s="13" t="s">
        <v>26</v>
      </c>
      <c r="L129" s="13">
        <v>182243</v>
      </c>
      <c r="M129" s="13" t="str">
        <f>"FRUITS BASKET KHOO B LIM HOOI LENG"</f>
        <v>FRUITS BASKET KHOO B LIM HOOI LENG</v>
      </c>
      <c r="O129" s="13">
        <v>1</v>
      </c>
      <c r="P129" s="13" t="str">
        <f>"PGTEFT2675"</f>
        <v>PGTEFT2675</v>
      </c>
      <c r="Q129" s="13" t="str">
        <f>"CLAIMS"</f>
        <v>CLAIMS</v>
      </c>
    </row>
    <row r="130" spans="1:18" s="13" customFormat="1" x14ac:dyDescent="0.25">
      <c r="A130" s="13">
        <v>8003879954</v>
      </c>
      <c r="B130" s="13">
        <v>1</v>
      </c>
      <c r="C130" s="13">
        <v>17102017</v>
      </c>
      <c r="D130" s="13">
        <v>5</v>
      </c>
      <c r="E130" s="13" t="str">
        <f>"REMITTANCE CR"</f>
        <v>REMITTANCE CR</v>
      </c>
      <c r="H130" s="14">
        <v>650000</v>
      </c>
      <c r="I130" s="13" t="s">
        <v>26</v>
      </c>
      <c r="J130" s="14">
        <v>689553.2</v>
      </c>
      <c r="K130" s="13" t="s">
        <v>26</v>
      </c>
      <c r="L130" s="13">
        <v>152207</v>
      </c>
      <c r="M130" s="13" t="str">
        <f>"/ROC/KLMP0022612RES RHB ASSET MANAGEMENT"</f>
        <v>/ROC/KLMP0022612RES RHB ASSET MANAGEMENT</v>
      </c>
      <c r="O130" s="13">
        <v>1</v>
      </c>
      <c r="P130" s="13" t="str">
        <f>"KLMP0022612"</f>
        <v>KLMP0022612</v>
      </c>
      <c r="Q130" s="13" t="str">
        <f>"RESIDENT"</f>
        <v>RESIDENT</v>
      </c>
      <c r="R130" s="13" t="str">
        <f>"RHB ASSET MANAGEMENT"</f>
        <v>RHB ASSET MANAGEMENT</v>
      </c>
    </row>
    <row r="131" spans="1:18" s="13" customFormat="1" x14ac:dyDescent="0.25">
      <c r="A131" s="13">
        <v>8003879954</v>
      </c>
      <c r="B131" s="13">
        <v>5</v>
      </c>
      <c r="C131" s="13">
        <v>16102017</v>
      </c>
      <c r="D131" s="13">
        <v>299</v>
      </c>
      <c r="E131" s="13" t="str">
        <f>"GST"</f>
        <v>GST</v>
      </c>
      <c r="H131" s="14">
        <v>0.06</v>
      </c>
      <c r="I131" s="13" t="s">
        <v>28</v>
      </c>
      <c r="J131" s="14">
        <v>39553.199999999997</v>
      </c>
      <c r="K131" s="13" t="s">
        <v>26</v>
      </c>
      <c r="L131" s="13">
        <v>10341</v>
      </c>
      <c r="M131" s="13" t="str">
        <f>""</f>
        <v/>
      </c>
      <c r="O131" s="13">
        <v>1</v>
      </c>
    </row>
    <row r="132" spans="1:18" s="13" customFormat="1" x14ac:dyDescent="0.25">
      <c r="A132" s="13">
        <v>8003879954</v>
      </c>
      <c r="B132" s="13">
        <v>4</v>
      </c>
      <c r="C132" s="13">
        <v>16102017</v>
      </c>
      <c r="D132" s="13">
        <v>819</v>
      </c>
      <c r="E132" s="13" t="str">
        <f>"CHQ PROCESSING FEE"</f>
        <v>CHQ PROCESSING FEE</v>
      </c>
      <c r="H132" s="14">
        <v>1</v>
      </c>
      <c r="I132" s="13" t="s">
        <v>28</v>
      </c>
      <c r="J132" s="14">
        <v>39553.26</v>
      </c>
      <c r="K132" s="13" t="s">
        <v>26</v>
      </c>
      <c r="L132" s="13">
        <v>10341</v>
      </c>
      <c r="M132" s="13" t="str">
        <f>""</f>
        <v/>
      </c>
      <c r="O132" s="13">
        <v>1</v>
      </c>
    </row>
    <row r="133" spans="1:18" s="13" customFormat="1" x14ac:dyDescent="0.25">
      <c r="A133" s="13">
        <v>8003879954</v>
      </c>
      <c r="B133" s="13">
        <v>3</v>
      </c>
      <c r="C133" s="13">
        <v>16102017</v>
      </c>
      <c r="D133" s="13">
        <v>321</v>
      </c>
      <c r="E133" s="13" t="str">
        <f>"HOUSE CHQ DR"</f>
        <v>HOUSE CHQ DR</v>
      </c>
      <c r="F133" s="13">
        <v>0</v>
      </c>
      <c r="G133" s="13" t="str">
        <f>"00688038"</f>
        <v>00688038</v>
      </c>
      <c r="H133" s="14">
        <v>1937.88</v>
      </c>
      <c r="I133" s="13" t="s">
        <v>28</v>
      </c>
      <c r="J133" s="14">
        <v>39554.26</v>
      </c>
      <c r="K133" s="13" t="s">
        <v>26</v>
      </c>
      <c r="L133" s="13">
        <v>10200</v>
      </c>
      <c r="M133" s="13" t="str">
        <f>""</f>
        <v/>
      </c>
      <c r="O133" s="13">
        <v>1</v>
      </c>
    </row>
    <row r="134" spans="1:18" s="13" customFormat="1" x14ac:dyDescent="0.25">
      <c r="A134" s="13">
        <v>8003879954</v>
      </c>
      <c r="B134" s="13">
        <v>2</v>
      </c>
      <c r="C134" s="13">
        <v>16102017</v>
      </c>
      <c r="D134" s="13">
        <v>321</v>
      </c>
      <c r="E134" s="13" t="str">
        <f>"HOUSE CHQ DR"</f>
        <v>HOUSE CHQ DR</v>
      </c>
      <c r="F134" s="13">
        <v>0</v>
      </c>
      <c r="G134" s="13" t="str">
        <f>"00688037"</f>
        <v>00688037</v>
      </c>
      <c r="H134" s="14">
        <v>9500.35</v>
      </c>
      <c r="I134" s="13" t="s">
        <v>28</v>
      </c>
      <c r="J134" s="14">
        <v>41492.14</v>
      </c>
      <c r="K134" s="13" t="s">
        <v>26</v>
      </c>
      <c r="L134" s="13">
        <v>10200</v>
      </c>
      <c r="M134" s="13" t="str">
        <f>""</f>
        <v/>
      </c>
      <c r="O134" s="13">
        <v>1</v>
      </c>
    </row>
    <row r="135" spans="1:18" s="13" customFormat="1" x14ac:dyDescent="0.25">
      <c r="A135" s="13">
        <v>8003879954</v>
      </c>
      <c r="B135" s="13">
        <v>1</v>
      </c>
      <c r="C135" s="13">
        <v>16102017</v>
      </c>
      <c r="D135" s="13">
        <v>174</v>
      </c>
      <c r="E135" s="13" t="str">
        <f>"IBG CREDIT"</f>
        <v>IBG CREDIT</v>
      </c>
      <c r="F135" s="13">
        <v>2001</v>
      </c>
      <c r="G135" s="13" t="str">
        <f>"417289710779104"</f>
        <v>417289710779104</v>
      </c>
      <c r="H135" s="14">
        <v>3000</v>
      </c>
      <c r="I135" s="13" t="s">
        <v>26</v>
      </c>
      <c r="J135" s="14">
        <v>50992.49</v>
      </c>
      <c r="K135" s="13" t="s">
        <v>26</v>
      </c>
      <c r="L135" s="13">
        <v>191306</v>
      </c>
      <c r="M135" s="13" t="str">
        <f>"6+900004427"</f>
        <v>6+900004427</v>
      </c>
      <c r="O135" s="13">
        <v>1</v>
      </c>
      <c r="P135" s="13" t="str">
        <f>"6+900004427"</f>
        <v>6+900004427</v>
      </c>
      <c r="Q135" s="13" t="str">
        <f>"INVOICE DATE   INVOI"</f>
        <v>INVOICE DATE   INVOI</v>
      </c>
      <c r="R135" s="13" t="str">
        <f>"SIME DARBY HEALTHCAR"</f>
        <v>SIME DARBY HEALTHCAR</v>
      </c>
    </row>
    <row r="136" spans="1:18" s="13" customFormat="1" x14ac:dyDescent="0.25">
      <c r="A136" s="13">
        <v>8003879954</v>
      </c>
      <c r="B136" s="13">
        <v>11</v>
      </c>
      <c r="C136" s="13">
        <v>13102017</v>
      </c>
      <c r="D136" s="13">
        <v>299</v>
      </c>
      <c r="E136" s="13" t="str">
        <f>"GST"</f>
        <v>GST</v>
      </c>
      <c r="H136" s="14">
        <v>0.18</v>
      </c>
      <c r="I136" s="13" t="s">
        <v>28</v>
      </c>
      <c r="J136" s="14">
        <v>47992.49</v>
      </c>
      <c r="K136" s="13" t="s">
        <v>26</v>
      </c>
      <c r="L136" s="13">
        <v>5852</v>
      </c>
      <c r="M136" s="13" t="str">
        <f>""</f>
        <v/>
      </c>
      <c r="O136" s="13">
        <v>1</v>
      </c>
    </row>
    <row r="137" spans="1:18" s="13" customFormat="1" x14ac:dyDescent="0.25">
      <c r="A137" s="13">
        <v>8003879954</v>
      </c>
      <c r="B137" s="13">
        <v>10</v>
      </c>
      <c r="C137" s="13">
        <v>13102017</v>
      </c>
      <c r="D137" s="13">
        <v>819</v>
      </c>
      <c r="E137" s="13" t="str">
        <f>"CHQ PROCESSING FEE"</f>
        <v>CHQ PROCESSING FEE</v>
      </c>
      <c r="H137" s="14">
        <v>3</v>
      </c>
      <c r="I137" s="13" t="s">
        <v>28</v>
      </c>
      <c r="J137" s="14">
        <v>47992.67</v>
      </c>
      <c r="K137" s="13" t="s">
        <v>26</v>
      </c>
      <c r="L137" s="13">
        <v>5852</v>
      </c>
      <c r="M137" s="13" t="str">
        <f>""</f>
        <v/>
      </c>
      <c r="O137" s="13">
        <v>1</v>
      </c>
    </row>
    <row r="138" spans="1:18" s="13" customFormat="1" x14ac:dyDescent="0.25">
      <c r="A138" s="13">
        <v>8003879954</v>
      </c>
      <c r="B138" s="13">
        <v>9</v>
      </c>
      <c r="C138" s="13">
        <v>13102017</v>
      </c>
      <c r="D138" s="13">
        <v>323</v>
      </c>
      <c r="E138" s="13" t="str">
        <f t="shared" ref="E138:E143" si="0">"CLRG CHQ DR"</f>
        <v>CLRG CHQ DR</v>
      </c>
      <c r="F138" s="13">
        <v>0</v>
      </c>
      <c r="G138" s="13" t="str">
        <f>"00688050"</f>
        <v>00688050</v>
      </c>
      <c r="H138" s="14">
        <v>12720</v>
      </c>
      <c r="I138" s="13" t="s">
        <v>28</v>
      </c>
      <c r="J138" s="14">
        <v>47995.67</v>
      </c>
      <c r="K138" s="13" t="s">
        <v>26</v>
      </c>
      <c r="L138" s="13">
        <v>5730</v>
      </c>
      <c r="M138" s="13" t="str">
        <f>""</f>
        <v/>
      </c>
      <c r="O138" s="13">
        <v>1</v>
      </c>
    </row>
    <row r="139" spans="1:18" s="13" customFormat="1" x14ac:dyDescent="0.25">
      <c r="A139" s="13">
        <v>8003879954</v>
      </c>
      <c r="B139" s="13">
        <v>8</v>
      </c>
      <c r="C139" s="13">
        <v>13102017</v>
      </c>
      <c r="D139" s="13">
        <v>323</v>
      </c>
      <c r="E139" s="13" t="str">
        <f t="shared" si="0"/>
        <v>CLRG CHQ DR</v>
      </c>
      <c r="F139" s="13">
        <v>0</v>
      </c>
      <c r="G139" s="13" t="str">
        <f>"00688049"</f>
        <v>00688049</v>
      </c>
      <c r="H139" s="14">
        <v>15000</v>
      </c>
      <c r="I139" s="13" t="s">
        <v>28</v>
      </c>
      <c r="J139" s="14">
        <v>60715.67</v>
      </c>
      <c r="K139" s="13" t="s">
        <v>26</v>
      </c>
      <c r="L139" s="13">
        <v>5730</v>
      </c>
      <c r="M139" s="13" t="str">
        <f>""</f>
        <v/>
      </c>
      <c r="O139" s="13">
        <v>1</v>
      </c>
    </row>
    <row r="140" spans="1:18" s="13" customFormat="1" x14ac:dyDescent="0.25">
      <c r="A140" s="13">
        <v>8003879954</v>
      </c>
      <c r="B140" s="13">
        <v>7</v>
      </c>
      <c r="C140" s="13">
        <v>13102017</v>
      </c>
      <c r="D140" s="13">
        <v>323</v>
      </c>
      <c r="E140" s="13" t="str">
        <f t="shared" si="0"/>
        <v>CLRG CHQ DR</v>
      </c>
      <c r="F140" s="13">
        <v>0</v>
      </c>
      <c r="G140" s="13" t="str">
        <f>"00688048"</f>
        <v>00688048</v>
      </c>
      <c r="H140" s="14">
        <v>56985.599999999999</v>
      </c>
      <c r="I140" s="13" t="s">
        <v>28</v>
      </c>
      <c r="J140" s="14">
        <v>75715.67</v>
      </c>
      <c r="K140" s="13" t="s">
        <v>26</v>
      </c>
      <c r="L140" s="13">
        <v>5730</v>
      </c>
      <c r="M140" s="13" t="str">
        <f>""</f>
        <v/>
      </c>
      <c r="O140" s="13">
        <v>1</v>
      </c>
    </row>
    <row r="141" spans="1:18" s="13" customFormat="1" x14ac:dyDescent="0.25">
      <c r="A141" s="13">
        <v>8003879954</v>
      </c>
      <c r="B141" s="13">
        <v>6</v>
      </c>
      <c r="C141" s="13">
        <v>13102017</v>
      </c>
      <c r="D141" s="13">
        <v>323</v>
      </c>
      <c r="E141" s="13" t="str">
        <f t="shared" si="0"/>
        <v>CLRG CHQ DR</v>
      </c>
      <c r="F141" s="13">
        <v>0</v>
      </c>
      <c r="G141" s="13" t="str">
        <f>"00688047"</f>
        <v>00688047</v>
      </c>
      <c r="H141" s="14">
        <v>21621.35</v>
      </c>
      <c r="I141" s="13" t="s">
        <v>28</v>
      </c>
      <c r="J141" s="14">
        <v>132701.26999999999</v>
      </c>
      <c r="K141" s="13" t="s">
        <v>26</v>
      </c>
      <c r="L141" s="13">
        <v>5730</v>
      </c>
      <c r="M141" s="13" t="str">
        <f>""</f>
        <v/>
      </c>
      <c r="O141" s="13">
        <v>1</v>
      </c>
    </row>
    <row r="142" spans="1:18" s="13" customFormat="1" x14ac:dyDescent="0.25">
      <c r="A142" s="13">
        <v>8003879954</v>
      </c>
      <c r="B142" s="13">
        <v>5</v>
      </c>
      <c r="C142" s="13">
        <v>13102017</v>
      </c>
      <c r="D142" s="13">
        <v>323</v>
      </c>
      <c r="E142" s="13" t="str">
        <f t="shared" si="0"/>
        <v>CLRG CHQ DR</v>
      </c>
      <c r="F142" s="13">
        <v>0</v>
      </c>
      <c r="G142" s="13" t="str">
        <f>"00688046"</f>
        <v>00688046</v>
      </c>
      <c r="H142" s="14">
        <v>13282.5</v>
      </c>
      <c r="I142" s="13" t="s">
        <v>28</v>
      </c>
      <c r="J142" s="14">
        <v>154322.62</v>
      </c>
      <c r="K142" s="13" t="s">
        <v>26</v>
      </c>
      <c r="L142" s="13">
        <v>5730</v>
      </c>
      <c r="M142" s="13" t="str">
        <f>""</f>
        <v/>
      </c>
      <c r="O142" s="13">
        <v>1</v>
      </c>
    </row>
    <row r="143" spans="1:18" s="13" customFormat="1" x14ac:dyDescent="0.25">
      <c r="A143" s="13">
        <v>8003879954</v>
      </c>
      <c r="B143" s="13">
        <v>4</v>
      </c>
      <c r="C143" s="13">
        <v>13102017</v>
      </c>
      <c r="D143" s="13">
        <v>323</v>
      </c>
      <c r="E143" s="13" t="str">
        <f t="shared" si="0"/>
        <v>CLRG CHQ DR</v>
      </c>
      <c r="F143" s="13">
        <v>0</v>
      </c>
      <c r="G143" s="13" t="str">
        <f>"00688045"</f>
        <v>00688045</v>
      </c>
      <c r="H143" s="14">
        <v>170</v>
      </c>
      <c r="I143" s="13" t="s">
        <v>28</v>
      </c>
      <c r="J143" s="14">
        <v>167605.12</v>
      </c>
      <c r="K143" s="13" t="s">
        <v>26</v>
      </c>
      <c r="L143" s="13">
        <v>5730</v>
      </c>
      <c r="M143" s="13" t="str">
        <f>""</f>
        <v/>
      </c>
      <c r="O143" s="13">
        <v>1</v>
      </c>
    </row>
    <row r="144" spans="1:18" s="13" customFormat="1" x14ac:dyDescent="0.25">
      <c r="A144" s="13">
        <v>8003879954</v>
      </c>
      <c r="B144" s="13">
        <v>3</v>
      </c>
      <c r="C144" s="13">
        <v>13102017</v>
      </c>
      <c r="D144" s="13">
        <v>299</v>
      </c>
      <c r="E144" s="13" t="s">
        <v>44</v>
      </c>
      <c r="F144" s="13">
        <v>72</v>
      </c>
      <c r="G144" s="13" t="str">
        <f>"282684290"</f>
        <v>282684290</v>
      </c>
      <c r="H144" s="14">
        <v>0.6</v>
      </c>
      <c r="I144" s="13" t="s">
        <v>28</v>
      </c>
      <c r="J144" s="14">
        <v>167775.12</v>
      </c>
      <c r="K144" s="13" t="s">
        <v>26</v>
      </c>
      <c r="L144" s="13">
        <v>172323</v>
      </c>
      <c r="M144" s="13" t="str">
        <f>"00722131017T5589                       M"</f>
        <v>00722131017T5589                       M</v>
      </c>
      <c r="O144" s="13">
        <v>1</v>
      </c>
    </row>
    <row r="145" spans="1:17" s="13" customFormat="1" x14ac:dyDescent="0.25">
      <c r="A145" s="13">
        <v>8003879954</v>
      </c>
      <c r="B145" s="13">
        <v>2</v>
      </c>
      <c r="C145" s="13">
        <v>13102017</v>
      </c>
      <c r="D145" s="13">
        <v>415</v>
      </c>
      <c r="E145" s="13" t="s">
        <v>146</v>
      </c>
      <c r="F145" s="13">
        <v>72</v>
      </c>
      <c r="G145" s="13" t="str">
        <f>"282684290"</f>
        <v>282684290</v>
      </c>
      <c r="H145" s="14">
        <v>10</v>
      </c>
      <c r="I145" s="13" t="s">
        <v>28</v>
      </c>
      <c r="J145" s="14">
        <v>167775.72</v>
      </c>
      <c r="K145" s="13" t="s">
        <v>26</v>
      </c>
      <c r="L145" s="13">
        <v>172323</v>
      </c>
      <c r="M145" s="13" t="str">
        <f>"00722131017T5589                       M"</f>
        <v>00722131017T5589                       M</v>
      </c>
      <c r="O145" s="13">
        <v>1</v>
      </c>
    </row>
    <row r="146" spans="1:17" s="13" customFormat="1" x14ac:dyDescent="0.25">
      <c r="A146" s="13">
        <v>8003879954</v>
      </c>
      <c r="B146" s="13">
        <v>1</v>
      </c>
      <c r="C146" s="13">
        <v>13102017</v>
      </c>
      <c r="D146" s="13">
        <v>349</v>
      </c>
      <c r="E146" s="13" t="str">
        <f>"TR TO REMITT"</f>
        <v>TR TO REMITT</v>
      </c>
      <c r="F146" s="13">
        <v>72</v>
      </c>
      <c r="G146" s="13" t="str">
        <f>"282684290"</f>
        <v>282684290</v>
      </c>
      <c r="H146" s="14">
        <v>10247.09</v>
      </c>
      <c r="I146" s="13" t="s">
        <v>28</v>
      </c>
      <c r="J146" s="14">
        <v>167785.72</v>
      </c>
      <c r="K146" s="13" t="s">
        <v>26</v>
      </c>
      <c r="L146" s="13">
        <v>172323</v>
      </c>
      <c r="M146" s="13" t="str">
        <f>"00722131017T5589                       M"</f>
        <v>00722131017T5589                       M</v>
      </c>
      <c r="O146" s="13">
        <v>1</v>
      </c>
    </row>
    <row r="147" spans="1:17" s="13" customFormat="1" x14ac:dyDescent="0.25">
      <c r="A147" s="13">
        <v>8003879954</v>
      </c>
      <c r="B147" s="13">
        <v>1</v>
      </c>
      <c r="C147" s="13">
        <v>12102017</v>
      </c>
      <c r="D147" s="13">
        <v>345</v>
      </c>
      <c r="E147" s="13" t="s">
        <v>27</v>
      </c>
      <c r="F147" s="13">
        <v>9938</v>
      </c>
      <c r="G147" s="13" t="s">
        <v>1105</v>
      </c>
      <c r="H147" s="14">
        <v>7180.75</v>
      </c>
      <c r="I147" s="13" t="s">
        <v>28</v>
      </c>
      <c r="J147" s="14">
        <v>178032.81</v>
      </c>
      <c r="K147" s="13" t="s">
        <v>26</v>
      </c>
      <c r="L147" s="13">
        <v>210858</v>
      </c>
      <c r="M147" s="13" t="s">
        <v>1106</v>
      </c>
      <c r="O147" s="13">
        <v>1</v>
      </c>
      <c r="P147" s="13" t="s">
        <v>1107</v>
      </c>
      <c r="Q147" s="13" t="s">
        <v>74</v>
      </c>
    </row>
    <row r="148" spans="1:17" s="13" customFormat="1" x14ac:dyDescent="0.25">
      <c r="A148" s="13">
        <v>8003879954</v>
      </c>
      <c r="B148" s="13">
        <v>67</v>
      </c>
      <c r="C148" s="13">
        <v>10102017</v>
      </c>
      <c r="D148" s="13">
        <v>299</v>
      </c>
      <c r="E148" s="13" t="s">
        <v>30</v>
      </c>
      <c r="H148" s="14">
        <v>0.03</v>
      </c>
      <c r="I148" s="13" t="s">
        <v>28</v>
      </c>
      <c r="J148" s="14">
        <v>185213.56</v>
      </c>
      <c r="K148" s="13" t="s">
        <v>26</v>
      </c>
      <c r="L148" s="13">
        <v>10058</v>
      </c>
      <c r="M148" s="13" t="s">
        <v>53</v>
      </c>
      <c r="O148" s="13">
        <v>1</v>
      </c>
    </row>
    <row r="149" spans="1:17" s="13" customFormat="1" x14ac:dyDescent="0.25">
      <c r="A149" s="13">
        <v>8003879954</v>
      </c>
      <c r="B149" s="13">
        <v>66</v>
      </c>
      <c r="C149" s="13">
        <v>10102017</v>
      </c>
      <c r="D149" s="13">
        <v>819</v>
      </c>
      <c r="E149" s="13" t="s">
        <v>32</v>
      </c>
      <c r="H149" s="14">
        <v>0.5</v>
      </c>
      <c r="I149" s="13" t="s">
        <v>28</v>
      </c>
      <c r="J149" s="14">
        <v>185213.59</v>
      </c>
      <c r="K149" s="13" t="s">
        <v>26</v>
      </c>
      <c r="L149" s="13">
        <v>10058</v>
      </c>
      <c r="M149" s="13" t="s">
        <v>53</v>
      </c>
      <c r="O149" s="13">
        <v>1</v>
      </c>
    </row>
    <row r="150" spans="1:17" s="13" customFormat="1" x14ac:dyDescent="0.25">
      <c r="A150" s="13">
        <v>8003879954</v>
      </c>
      <c r="B150" s="13">
        <v>65</v>
      </c>
      <c r="C150" s="13">
        <v>10102017</v>
      </c>
      <c r="D150" s="13">
        <v>323</v>
      </c>
      <c r="E150" s="13" t="s">
        <v>33</v>
      </c>
      <c r="F150" s="13">
        <v>0</v>
      </c>
      <c r="G150" s="13" t="s">
        <v>1108</v>
      </c>
      <c r="H150" s="14">
        <v>1472.1</v>
      </c>
      <c r="I150" s="13" t="s">
        <v>28</v>
      </c>
      <c r="J150" s="14">
        <v>185214.09</v>
      </c>
      <c r="K150" s="13" t="s">
        <v>26</v>
      </c>
      <c r="L150" s="13">
        <v>5959</v>
      </c>
      <c r="M150" s="13" t="s">
        <v>53</v>
      </c>
      <c r="O150" s="13">
        <v>1</v>
      </c>
    </row>
    <row r="151" spans="1:17" s="13" customFormat="1" x14ac:dyDescent="0.25">
      <c r="A151" s="13">
        <v>8003879954</v>
      </c>
      <c r="B151" s="13">
        <v>64</v>
      </c>
      <c r="C151" s="13">
        <v>10102017</v>
      </c>
      <c r="D151" s="13">
        <v>121</v>
      </c>
      <c r="E151" s="13" t="s">
        <v>25</v>
      </c>
      <c r="F151" s="13">
        <v>2007</v>
      </c>
      <c r="G151" s="13" t="s">
        <v>1109</v>
      </c>
      <c r="H151" s="14">
        <v>2600</v>
      </c>
      <c r="I151" s="13" t="s">
        <v>26</v>
      </c>
      <c r="J151" s="14">
        <v>186686.19</v>
      </c>
      <c r="K151" s="13" t="s">
        <v>26</v>
      </c>
      <c r="L151" s="13">
        <v>190804</v>
      </c>
      <c r="M151" s="13" t="s">
        <v>53</v>
      </c>
      <c r="O151" s="13">
        <v>1</v>
      </c>
    </row>
    <row r="152" spans="1:17" s="13" customFormat="1" x14ac:dyDescent="0.25">
      <c r="A152" s="13">
        <v>8003879954</v>
      </c>
      <c r="B152" s="13">
        <v>63</v>
      </c>
      <c r="C152" s="13">
        <v>10102017</v>
      </c>
      <c r="D152" s="13">
        <v>341</v>
      </c>
      <c r="E152" s="13" t="s">
        <v>29</v>
      </c>
      <c r="F152" s="13">
        <v>9938</v>
      </c>
      <c r="G152" s="13" t="s">
        <v>1110</v>
      </c>
      <c r="H152" s="14">
        <v>360</v>
      </c>
      <c r="I152" s="13" t="s">
        <v>28</v>
      </c>
      <c r="J152" s="14">
        <v>184086.19</v>
      </c>
      <c r="K152" s="13" t="s">
        <v>26</v>
      </c>
      <c r="L152" s="13">
        <v>171410</v>
      </c>
      <c r="M152" s="13" t="s">
        <v>1111</v>
      </c>
      <c r="O152" s="13">
        <v>1</v>
      </c>
      <c r="P152" s="13" t="s">
        <v>1112</v>
      </c>
      <c r="Q152" s="13" t="s">
        <v>126</v>
      </c>
    </row>
    <row r="153" spans="1:17" s="13" customFormat="1" x14ac:dyDescent="0.25">
      <c r="A153" s="13">
        <v>8003879954</v>
      </c>
      <c r="B153" s="13">
        <v>62</v>
      </c>
      <c r="C153" s="13">
        <v>10102017</v>
      </c>
      <c r="D153" s="13">
        <v>299</v>
      </c>
      <c r="E153" s="13" t="s">
        <v>30</v>
      </c>
      <c r="F153" s="13">
        <v>9938</v>
      </c>
      <c r="G153" s="13" t="s">
        <v>1110</v>
      </c>
      <c r="H153" s="14">
        <v>0.01</v>
      </c>
      <c r="I153" s="13" t="s">
        <v>28</v>
      </c>
      <c r="J153" s="14">
        <v>184446.19</v>
      </c>
      <c r="K153" s="13" t="s">
        <v>26</v>
      </c>
      <c r="L153" s="13">
        <v>171410</v>
      </c>
      <c r="M153" s="13" t="s">
        <v>1113</v>
      </c>
      <c r="O153" s="13">
        <v>1</v>
      </c>
    </row>
    <row r="154" spans="1:17" s="13" customFormat="1" x14ac:dyDescent="0.25">
      <c r="A154" s="13">
        <v>8003879954</v>
      </c>
      <c r="B154" s="13">
        <v>61</v>
      </c>
      <c r="C154" s="13">
        <v>10102017</v>
      </c>
      <c r="D154" s="13">
        <v>489</v>
      </c>
      <c r="E154" s="13" t="s">
        <v>31</v>
      </c>
      <c r="F154" s="13">
        <v>9938</v>
      </c>
      <c r="G154" s="13" t="s">
        <v>1110</v>
      </c>
      <c r="H154" s="14">
        <v>0.1</v>
      </c>
      <c r="I154" s="13" t="s">
        <v>28</v>
      </c>
      <c r="J154" s="14">
        <v>184446.2</v>
      </c>
      <c r="K154" s="13" t="s">
        <v>26</v>
      </c>
      <c r="L154" s="13">
        <v>171410</v>
      </c>
      <c r="M154" s="13" t="s">
        <v>1113</v>
      </c>
      <c r="O154" s="13">
        <v>1</v>
      </c>
    </row>
    <row r="155" spans="1:17" s="13" customFormat="1" x14ac:dyDescent="0.25">
      <c r="A155" s="13">
        <v>8003879954</v>
      </c>
      <c r="B155" s="13">
        <v>60</v>
      </c>
      <c r="C155" s="13">
        <v>10102017</v>
      </c>
      <c r="D155" s="13">
        <v>341</v>
      </c>
      <c r="E155" s="13" t="s">
        <v>29</v>
      </c>
      <c r="F155" s="13">
        <v>9938</v>
      </c>
      <c r="G155" s="13" t="s">
        <v>1114</v>
      </c>
      <c r="H155" s="14">
        <v>267.12</v>
      </c>
      <c r="I155" s="13" t="s">
        <v>28</v>
      </c>
      <c r="J155" s="14">
        <v>184446.3</v>
      </c>
      <c r="K155" s="13" t="s">
        <v>26</v>
      </c>
      <c r="L155" s="13">
        <v>171410</v>
      </c>
      <c r="M155" s="13" t="s">
        <v>87</v>
      </c>
      <c r="O155" s="13">
        <v>1</v>
      </c>
      <c r="P155" s="13" t="s">
        <v>1115</v>
      </c>
      <c r="Q155" s="13" t="s">
        <v>1116</v>
      </c>
    </row>
    <row r="156" spans="1:17" s="13" customFormat="1" x14ac:dyDescent="0.25">
      <c r="A156" s="13">
        <v>8003879954</v>
      </c>
      <c r="B156" s="13">
        <v>59</v>
      </c>
      <c r="C156" s="13">
        <v>10102017</v>
      </c>
      <c r="D156" s="13">
        <v>299</v>
      </c>
      <c r="E156" s="13" t="s">
        <v>30</v>
      </c>
      <c r="F156" s="13">
        <v>9938</v>
      </c>
      <c r="G156" s="13" t="s">
        <v>1114</v>
      </c>
      <c r="H156" s="14">
        <v>0.01</v>
      </c>
      <c r="I156" s="13" t="s">
        <v>28</v>
      </c>
      <c r="J156" s="14">
        <v>184713.42</v>
      </c>
      <c r="K156" s="13" t="s">
        <v>26</v>
      </c>
      <c r="L156" s="13">
        <v>171410</v>
      </c>
      <c r="M156" s="13" t="s">
        <v>1117</v>
      </c>
      <c r="O156" s="13">
        <v>1</v>
      </c>
    </row>
    <row r="157" spans="1:17" s="13" customFormat="1" x14ac:dyDescent="0.25">
      <c r="A157" s="13">
        <v>8003879954</v>
      </c>
      <c r="B157" s="13">
        <v>58</v>
      </c>
      <c r="C157" s="13">
        <v>10102017</v>
      </c>
      <c r="D157" s="13">
        <v>489</v>
      </c>
      <c r="E157" s="13" t="s">
        <v>31</v>
      </c>
      <c r="F157" s="13">
        <v>9938</v>
      </c>
      <c r="G157" s="13" t="s">
        <v>1114</v>
      </c>
      <c r="H157" s="14">
        <v>0.1</v>
      </c>
      <c r="I157" s="13" t="s">
        <v>28</v>
      </c>
      <c r="J157" s="14">
        <v>184713.43</v>
      </c>
      <c r="K157" s="13" t="s">
        <v>26</v>
      </c>
      <c r="L157" s="13">
        <v>171410</v>
      </c>
      <c r="M157" s="13" t="s">
        <v>1117</v>
      </c>
      <c r="O157" s="13">
        <v>1</v>
      </c>
    </row>
    <row r="158" spans="1:17" s="13" customFormat="1" x14ac:dyDescent="0.25">
      <c r="A158" s="13">
        <v>8003879954</v>
      </c>
      <c r="B158" s="13">
        <v>57</v>
      </c>
      <c r="C158" s="13">
        <v>10102017</v>
      </c>
      <c r="D158" s="13">
        <v>60</v>
      </c>
      <c r="E158" s="13" t="s">
        <v>43</v>
      </c>
      <c r="F158" s="13">
        <v>9938</v>
      </c>
      <c r="G158" s="13" t="s">
        <v>1118</v>
      </c>
      <c r="H158" s="14">
        <v>360</v>
      </c>
      <c r="I158" s="13" t="s">
        <v>28</v>
      </c>
      <c r="J158" s="14">
        <v>184713.53</v>
      </c>
      <c r="K158" s="13" t="s">
        <v>26</v>
      </c>
      <c r="L158" s="13">
        <v>171410</v>
      </c>
      <c r="M158" s="13" t="s">
        <v>1119</v>
      </c>
      <c r="O158" s="13">
        <v>1</v>
      </c>
      <c r="P158" s="13" t="s">
        <v>1120</v>
      </c>
      <c r="Q158" s="13" t="s">
        <v>1121</v>
      </c>
    </row>
    <row r="159" spans="1:17" s="13" customFormat="1" x14ac:dyDescent="0.25">
      <c r="A159" s="13">
        <v>8003879954</v>
      </c>
      <c r="B159" s="13">
        <v>56</v>
      </c>
      <c r="C159" s="13">
        <v>10102017</v>
      </c>
      <c r="D159" s="13">
        <v>343</v>
      </c>
      <c r="E159" s="13" t="s">
        <v>49</v>
      </c>
      <c r="F159" s="13">
        <v>9938</v>
      </c>
      <c r="G159" s="13" t="s">
        <v>1122</v>
      </c>
      <c r="H159" s="14">
        <v>30.3</v>
      </c>
      <c r="I159" s="13" t="s">
        <v>28</v>
      </c>
      <c r="J159" s="14">
        <v>185073.53</v>
      </c>
      <c r="K159" s="13" t="s">
        <v>26</v>
      </c>
      <c r="L159" s="13">
        <v>171410</v>
      </c>
      <c r="M159" s="13" t="s">
        <v>408</v>
      </c>
      <c r="O159" s="13">
        <v>1</v>
      </c>
    </row>
    <row r="160" spans="1:17" s="13" customFormat="1" x14ac:dyDescent="0.25">
      <c r="A160" s="13">
        <v>8003879954</v>
      </c>
      <c r="B160" s="13">
        <v>55</v>
      </c>
      <c r="C160" s="13">
        <v>10102017</v>
      </c>
      <c r="D160" s="13">
        <v>341</v>
      </c>
      <c r="E160" s="13" t="s">
        <v>29</v>
      </c>
      <c r="F160" s="13">
        <v>9938</v>
      </c>
      <c r="G160" s="13" t="s">
        <v>1123</v>
      </c>
      <c r="H160" s="14">
        <v>1089</v>
      </c>
      <c r="I160" s="13" t="s">
        <v>28</v>
      </c>
      <c r="J160" s="14">
        <v>185103.83</v>
      </c>
      <c r="K160" s="13" t="s">
        <v>26</v>
      </c>
      <c r="L160" s="13">
        <v>171409</v>
      </c>
      <c r="M160" s="13" t="s">
        <v>225</v>
      </c>
      <c r="O160" s="13">
        <v>1</v>
      </c>
      <c r="P160" s="13" t="s">
        <v>1124</v>
      </c>
      <c r="Q160" s="13" t="s">
        <v>1125</v>
      </c>
    </row>
    <row r="161" spans="1:17" s="13" customFormat="1" x14ac:dyDescent="0.25">
      <c r="A161" s="13">
        <v>8003879954</v>
      </c>
      <c r="B161" s="13">
        <v>54</v>
      </c>
      <c r="C161" s="13">
        <v>10102017</v>
      </c>
      <c r="D161" s="13">
        <v>299</v>
      </c>
      <c r="E161" s="13" t="s">
        <v>30</v>
      </c>
      <c r="F161" s="13">
        <v>9938</v>
      </c>
      <c r="G161" s="13" t="s">
        <v>1123</v>
      </c>
      <c r="H161" s="14">
        <v>0.01</v>
      </c>
      <c r="I161" s="13" t="s">
        <v>28</v>
      </c>
      <c r="J161" s="14">
        <v>186192.83</v>
      </c>
      <c r="K161" s="13" t="s">
        <v>26</v>
      </c>
      <c r="L161" s="13">
        <v>171409</v>
      </c>
      <c r="M161" s="13" t="s">
        <v>1126</v>
      </c>
      <c r="O161" s="13">
        <v>1</v>
      </c>
    </row>
    <row r="162" spans="1:17" s="13" customFormat="1" x14ac:dyDescent="0.25">
      <c r="A162" s="13">
        <v>8003879954</v>
      </c>
      <c r="B162" s="13">
        <v>53</v>
      </c>
      <c r="C162" s="13">
        <v>10102017</v>
      </c>
      <c r="D162" s="13">
        <v>489</v>
      </c>
      <c r="E162" s="13" t="s">
        <v>31</v>
      </c>
      <c r="F162" s="13">
        <v>9938</v>
      </c>
      <c r="G162" s="13" t="s">
        <v>1123</v>
      </c>
      <c r="H162" s="14">
        <v>0.1</v>
      </c>
      <c r="I162" s="13" t="s">
        <v>28</v>
      </c>
      <c r="J162" s="14">
        <v>186192.84</v>
      </c>
      <c r="K162" s="13" t="s">
        <v>26</v>
      </c>
      <c r="L162" s="13">
        <v>171409</v>
      </c>
      <c r="M162" s="13" t="s">
        <v>1126</v>
      </c>
      <c r="O162" s="13">
        <v>1</v>
      </c>
    </row>
    <row r="163" spans="1:17" s="13" customFormat="1" x14ac:dyDescent="0.25">
      <c r="A163" s="13">
        <v>8003879954</v>
      </c>
      <c r="B163" s="13">
        <v>52</v>
      </c>
      <c r="C163" s="13">
        <v>10102017</v>
      </c>
      <c r="D163" s="13">
        <v>341</v>
      </c>
      <c r="E163" s="13" t="s">
        <v>29</v>
      </c>
      <c r="F163" s="13">
        <v>9938</v>
      </c>
      <c r="G163" s="13" t="s">
        <v>1127</v>
      </c>
      <c r="H163" s="14">
        <v>2809</v>
      </c>
      <c r="I163" s="13" t="s">
        <v>28</v>
      </c>
      <c r="J163" s="14">
        <v>186192.94</v>
      </c>
      <c r="K163" s="13" t="s">
        <v>26</v>
      </c>
      <c r="L163" s="13">
        <v>171409</v>
      </c>
      <c r="M163" s="13" t="s">
        <v>75</v>
      </c>
      <c r="O163" s="13">
        <v>1</v>
      </c>
      <c r="P163" s="13" t="s">
        <v>1128</v>
      </c>
      <c r="Q163" s="13" t="s">
        <v>1129</v>
      </c>
    </row>
    <row r="164" spans="1:17" s="13" customFormat="1" x14ac:dyDescent="0.25">
      <c r="A164" s="13">
        <v>8003879954</v>
      </c>
      <c r="B164" s="13">
        <v>51</v>
      </c>
      <c r="C164" s="13">
        <v>10102017</v>
      </c>
      <c r="D164" s="13">
        <v>299</v>
      </c>
      <c r="E164" s="13" t="s">
        <v>30</v>
      </c>
      <c r="F164" s="13">
        <v>9938</v>
      </c>
      <c r="G164" s="13" t="s">
        <v>1127</v>
      </c>
      <c r="H164" s="14">
        <v>0.01</v>
      </c>
      <c r="I164" s="13" t="s">
        <v>28</v>
      </c>
      <c r="J164" s="14">
        <v>189001.94</v>
      </c>
      <c r="K164" s="13" t="s">
        <v>26</v>
      </c>
      <c r="L164" s="13">
        <v>171409</v>
      </c>
      <c r="M164" s="13" t="s">
        <v>1130</v>
      </c>
      <c r="O164" s="13">
        <v>1</v>
      </c>
    </row>
    <row r="165" spans="1:17" s="13" customFormat="1" x14ac:dyDescent="0.25">
      <c r="A165" s="13">
        <v>8003879954</v>
      </c>
      <c r="B165" s="13">
        <v>50</v>
      </c>
      <c r="C165" s="13">
        <v>10102017</v>
      </c>
      <c r="D165" s="13">
        <v>489</v>
      </c>
      <c r="E165" s="13" t="s">
        <v>31</v>
      </c>
      <c r="F165" s="13">
        <v>9938</v>
      </c>
      <c r="G165" s="13" t="s">
        <v>1127</v>
      </c>
      <c r="H165" s="14">
        <v>0.1</v>
      </c>
      <c r="I165" s="13" t="s">
        <v>28</v>
      </c>
      <c r="J165" s="14">
        <v>189001.95</v>
      </c>
      <c r="K165" s="13" t="s">
        <v>26</v>
      </c>
      <c r="L165" s="13">
        <v>171409</v>
      </c>
      <c r="M165" s="13" t="s">
        <v>1130</v>
      </c>
      <c r="O165" s="13">
        <v>1</v>
      </c>
    </row>
    <row r="166" spans="1:17" s="13" customFormat="1" x14ac:dyDescent="0.25">
      <c r="A166" s="13">
        <v>8003879954</v>
      </c>
      <c r="B166" s="13">
        <v>49</v>
      </c>
      <c r="C166" s="13">
        <v>10102017</v>
      </c>
      <c r="D166" s="13">
        <v>345</v>
      </c>
      <c r="E166" s="13" t="s">
        <v>27</v>
      </c>
      <c r="F166" s="13">
        <v>9938</v>
      </c>
      <c r="G166" s="13" t="s">
        <v>1131</v>
      </c>
      <c r="H166" s="14">
        <v>528.96</v>
      </c>
      <c r="I166" s="13" t="s">
        <v>28</v>
      </c>
      <c r="J166" s="14">
        <v>189002.05</v>
      </c>
      <c r="K166" s="13" t="s">
        <v>26</v>
      </c>
      <c r="L166" s="13">
        <v>171409</v>
      </c>
      <c r="M166" s="13" t="s">
        <v>1132</v>
      </c>
      <c r="O166" s="13">
        <v>1</v>
      </c>
      <c r="P166" s="13" t="s">
        <v>1133</v>
      </c>
      <c r="Q166" s="13" t="s">
        <v>74</v>
      </c>
    </row>
    <row r="167" spans="1:17" s="13" customFormat="1" x14ac:dyDescent="0.25">
      <c r="A167" s="13">
        <v>8003879954</v>
      </c>
      <c r="B167" s="13">
        <v>48</v>
      </c>
      <c r="C167" s="13">
        <v>10102017</v>
      </c>
      <c r="D167" s="13">
        <v>343</v>
      </c>
      <c r="E167" s="13" t="s">
        <v>49</v>
      </c>
      <c r="F167" s="13">
        <v>9938</v>
      </c>
      <c r="G167" s="13" t="s">
        <v>1134</v>
      </c>
      <c r="H167" s="14">
        <v>19</v>
      </c>
      <c r="I167" s="13" t="s">
        <v>28</v>
      </c>
      <c r="J167" s="14">
        <v>189531.01</v>
      </c>
      <c r="K167" s="13" t="s">
        <v>26</v>
      </c>
      <c r="L167" s="13">
        <v>171409</v>
      </c>
      <c r="M167" s="13" t="s">
        <v>150</v>
      </c>
      <c r="O167" s="13">
        <v>1</v>
      </c>
    </row>
    <row r="168" spans="1:17" s="13" customFormat="1" x14ac:dyDescent="0.25">
      <c r="A168" s="13">
        <v>8003879954</v>
      </c>
      <c r="B168" s="13">
        <v>47</v>
      </c>
      <c r="C168" s="13">
        <v>10102017</v>
      </c>
      <c r="D168" s="13">
        <v>345</v>
      </c>
      <c r="E168" s="13" t="s">
        <v>27</v>
      </c>
      <c r="F168" s="13">
        <v>9938</v>
      </c>
      <c r="G168" s="13" t="s">
        <v>1135</v>
      </c>
      <c r="H168" s="14">
        <v>6399.64</v>
      </c>
      <c r="I168" s="13" t="s">
        <v>28</v>
      </c>
      <c r="J168" s="14">
        <v>189550.01</v>
      </c>
      <c r="K168" s="13" t="s">
        <v>26</v>
      </c>
      <c r="L168" s="13">
        <v>171409</v>
      </c>
      <c r="M168" s="13" t="s">
        <v>1136</v>
      </c>
      <c r="O168" s="13">
        <v>1</v>
      </c>
      <c r="P168" s="13" t="s">
        <v>1137</v>
      </c>
      <c r="Q168" s="13" t="s">
        <v>74</v>
      </c>
    </row>
    <row r="169" spans="1:17" s="13" customFormat="1" x14ac:dyDescent="0.25">
      <c r="A169" s="13">
        <v>8003879954</v>
      </c>
      <c r="B169" s="13">
        <v>46</v>
      </c>
      <c r="C169" s="13">
        <v>10102017</v>
      </c>
      <c r="D169" s="13">
        <v>341</v>
      </c>
      <c r="E169" s="13" t="s">
        <v>29</v>
      </c>
      <c r="F169" s="13">
        <v>9938</v>
      </c>
      <c r="G169" s="13" t="s">
        <v>1138</v>
      </c>
      <c r="H169" s="14">
        <v>2320</v>
      </c>
      <c r="I169" s="13" t="s">
        <v>28</v>
      </c>
      <c r="J169" s="14">
        <v>195949.65</v>
      </c>
      <c r="K169" s="13" t="s">
        <v>26</v>
      </c>
      <c r="L169" s="13">
        <v>171101</v>
      </c>
      <c r="M169" s="13" t="s">
        <v>1005</v>
      </c>
      <c r="O169" s="13">
        <v>1</v>
      </c>
      <c r="P169" s="13" t="s">
        <v>1139</v>
      </c>
      <c r="Q169" s="13" t="s">
        <v>1140</v>
      </c>
    </row>
    <row r="170" spans="1:17" s="13" customFormat="1" x14ac:dyDescent="0.25">
      <c r="A170" s="13">
        <v>8003879954</v>
      </c>
      <c r="B170" s="13">
        <v>45</v>
      </c>
      <c r="C170" s="13">
        <v>10102017</v>
      </c>
      <c r="D170" s="13">
        <v>299</v>
      </c>
      <c r="E170" s="13" t="s">
        <v>30</v>
      </c>
      <c r="F170" s="13">
        <v>9938</v>
      </c>
      <c r="G170" s="13" t="s">
        <v>1138</v>
      </c>
      <c r="H170" s="14">
        <v>0.01</v>
      </c>
      <c r="I170" s="13" t="s">
        <v>28</v>
      </c>
      <c r="J170" s="14">
        <v>198269.65</v>
      </c>
      <c r="K170" s="13" t="s">
        <v>26</v>
      </c>
      <c r="L170" s="13">
        <v>171101</v>
      </c>
      <c r="M170" s="13" t="s">
        <v>1141</v>
      </c>
      <c r="O170" s="13">
        <v>1</v>
      </c>
    </row>
    <row r="171" spans="1:17" s="13" customFormat="1" x14ac:dyDescent="0.25">
      <c r="A171" s="13">
        <v>8003879954</v>
      </c>
      <c r="B171" s="13">
        <v>44</v>
      </c>
      <c r="C171" s="13">
        <v>10102017</v>
      </c>
      <c r="D171" s="13">
        <v>489</v>
      </c>
      <c r="E171" s="13" t="s">
        <v>31</v>
      </c>
      <c r="F171" s="13">
        <v>9938</v>
      </c>
      <c r="G171" s="13" t="s">
        <v>1138</v>
      </c>
      <c r="H171" s="14">
        <v>0.1</v>
      </c>
      <c r="I171" s="13" t="s">
        <v>28</v>
      </c>
      <c r="J171" s="14">
        <v>198269.66</v>
      </c>
      <c r="K171" s="13" t="s">
        <v>26</v>
      </c>
      <c r="L171" s="13">
        <v>171101</v>
      </c>
      <c r="M171" s="13" t="s">
        <v>1141</v>
      </c>
      <c r="O171" s="13">
        <v>1</v>
      </c>
    </row>
    <row r="172" spans="1:17" s="13" customFormat="1" x14ac:dyDescent="0.25">
      <c r="A172" s="13">
        <v>8003879954</v>
      </c>
      <c r="B172" s="13">
        <v>43</v>
      </c>
      <c r="C172" s="13">
        <v>10102017</v>
      </c>
      <c r="D172" s="13">
        <v>60</v>
      </c>
      <c r="E172" s="13" t="s">
        <v>43</v>
      </c>
      <c r="F172" s="13">
        <v>9938</v>
      </c>
      <c r="G172" s="13" t="s">
        <v>1142</v>
      </c>
      <c r="H172" s="14">
        <v>80</v>
      </c>
      <c r="I172" s="13" t="s">
        <v>28</v>
      </c>
      <c r="J172" s="14">
        <v>198269.76</v>
      </c>
      <c r="K172" s="13" t="s">
        <v>26</v>
      </c>
      <c r="L172" s="13">
        <v>171057</v>
      </c>
      <c r="M172" s="13" t="s">
        <v>1143</v>
      </c>
      <c r="O172" s="13">
        <v>1</v>
      </c>
      <c r="P172" s="13" t="s">
        <v>1144</v>
      </c>
      <c r="Q172" s="13" t="s">
        <v>1145</v>
      </c>
    </row>
    <row r="173" spans="1:17" s="13" customFormat="1" x14ac:dyDescent="0.25">
      <c r="A173" s="13">
        <v>8003879954</v>
      </c>
      <c r="B173" s="13">
        <v>42</v>
      </c>
      <c r="C173" s="13">
        <v>10102017</v>
      </c>
      <c r="D173" s="13">
        <v>345</v>
      </c>
      <c r="E173" s="13" t="s">
        <v>27</v>
      </c>
      <c r="F173" s="13">
        <v>9938</v>
      </c>
      <c r="G173" s="13" t="s">
        <v>1146</v>
      </c>
      <c r="H173" s="14">
        <v>2174.7800000000002</v>
      </c>
      <c r="I173" s="13" t="s">
        <v>28</v>
      </c>
      <c r="J173" s="14">
        <v>198349.76</v>
      </c>
      <c r="K173" s="13" t="s">
        <v>26</v>
      </c>
      <c r="L173" s="13">
        <v>171059</v>
      </c>
      <c r="M173" s="13" t="s">
        <v>1147</v>
      </c>
      <c r="O173" s="13">
        <v>1</v>
      </c>
      <c r="P173" s="13" t="s">
        <v>1148</v>
      </c>
      <c r="Q173" s="13" t="s">
        <v>74</v>
      </c>
    </row>
    <row r="174" spans="1:17" s="13" customFormat="1" x14ac:dyDescent="0.25">
      <c r="A174" s="13">
        <v>8003879954</v>
      </c>
      <c r="B174" s="13">
        <v>41</v>
      </c>
      <c r="C174" s="13">
        <v>10102017</v>
      </c>
      <c r="D174" s="13">
        <v>341</v>
      </c>
      <c r="E174" s="13" t="s">
        <v>29</v>
      </c>
      <c r="F174" s="13">
        <v>9938</v>
      </c>
      <c r="G174" s="13" t="s">
        <v>1149</v>
      </c>
      <c r="H174" s="14">
        <v>1049.8499999999999</v>
      </c>
      <c r="I174" s="13" t="s">
        <v>28</v>
      </c>
      <c r="J174" s="14">
        <v>200524.54</v>
      </c>
      <c r="K174" s="13" t="s">
        <v>26</v>
      </c>
      <c r="L174" s="13">
        <v>171059</v>
      </c>
      <c r="M174" s="13" t="s">
        <v>1150</v>
      </c>
      <c r="O174" s="13">
        <v>1</v>
      </c>
      <c r="P174" s="13" t="s">
        <v>1151</v>
      </c>
      <c r="Q174" s="13" t="s">
        <v>1152</v>
      </c>
    </row>
    <row r="175" spans="1:17" s="13" customFormat="1" x14ac:dyDescent="0.25">
      <c r="A175" s="13">
        <v>8003879954</v>
      </c>
      <c r="B175" s="13">
        <v>40</v>
      </c>
      <c r="C175" s="13">
        <v>10102017</v>
      </c>
      <c r="D175" s="13">
        <v>299</v>
      </c>
      <c r="E175" s="13" t="s">
        <v>30</v>
      </c>
      <c r="F175" s="13">
        <v>9938</v>
      </c>
      <c r="G175" s="13" t="s">
        <v>1149</v>
      </c>
      <c r="H175" s="14">
        <v>0.01</v>
      </c>
      <c r="I175" s="13" t="s">
        <v>28</v>
      </c>
      <c r="J175" s="14">
        <v>201574.39</v>
      </c>
      <c r="K175" s="13" t="s">
        <v>26</v>
      </c>
      <c r="L175" s="13">
        <v>171059</v>
      </c>
      <c r="M175" s="13" t="s">
        <v>1153</v>
      </c>
      <c r="O175" s="13">
        <v>1</v>
      </c>
    </row>
    <row r="176" spans="1:17" s="13" customFormat="1" x14ac:dyDescent="0.25">
      <c r="A176" s="13">
        <v>8003879954</v>
      </c>
      <c r="B176" s="13">
        <v>39</v>
      </c>
      <c r="C176" s="13">
        <v>10102017</v>
      </c>
      <c r="D176" s="13">
        <v>489</v>
      </c>
      <c r="E176" s="13" t="s">
        <v>31</v>
      </c>
      <c r="F176" s="13">
        <v>9938</v>
      </c>
      <c r="G176" s="13" t="s">
        <v>1149</v>
      </c>
      <c r="H176" s="14">
        <v>0.1</v>
      </c>
      <c r="I176" s="13" t="s">
        <v>28</v>
      </c>
      <c r="J176" s="14">
        <v>201574.39999999999</v>
      </c>
      <c r="K176" s="13" t="s">
        <v>26</v>
      </c>
      <c r="L176" s="13">
        <v>171059</v>
      </c>
      <c r="M176" s="13" t="s">
        <v>1153</v>
      </c>
      <c r="O176" s="13">
        <v>1</v>
      </c>
    </row>
    <row r="177" spans="1:17" s="13" customFormat="1" x14ac:dyDescent="0.25">
      <c r="A177" s="13">
        <v>8003879954</v>
      </c>
      <c r="B177" s="13">
        <v>38</v>
      </c>
      <c r="C177" s="13">
        <v>10102017</v>
      </c>
      <c r="D177" s="13">
        <v>343</v>
      </c>
      <c r="E177" s="13" t="s">
        <v>49</v>
      </c>
      <c r="F177" s="13">
        <v>9938</v>
      </c>
      <c r="G177" s="13" t="s">
        <v>1154</v>
      </c>
      <c r="H177" s="14">
        <v>1350.2</v>
      </c>
      <c r="I177" s="13" t="s">
        <v>28</v>
      </c>
      <c r="J177" s="14">
        <v>201574.5</v>
      </c>
      <c r="K177" s="13" t="s">
        <v>26</v>
      </c>
      <c r="L177" s="13">
        <v>171059</v>
      </c>
      <c r="M177" s="13" t="s">
        <v>152</v>
      </c>
      <c r="O177" s="13">
        <v>1</v>
      </c>
    </row>
    <row r="178" spans="1:17" s="13" customFormat="1" x14ac:dyDescent="0.25">
      <c r="A178" s="13">
        <v>8003879954</v>
      </c>
      <c r="B178" s="13">
        <v>37</v>
      </c>
      <c r="C178" s="13">
        <v>10102017</v>
      </c>
      <c r="D178" s="13">
        <v>60</v>
      </c>
      <c r="E178" s="13" t="s">
        <v>43</v>
      </c>
      <c r="F178" s="13">
        <v>9938</v>
      </c>
      <c r="G178" s="13" t="s">
        <v>1155</v>
      </c>
      <c r="H178" s="14">
        <v>84</v>
      </c>
      <c r="I178" s="13" t="s">
        <v>28</v>
      </c>
      <c r="J178" s="14">
        <v>202924.7</v>
      </c>
      <c r="K178" s="13" t="s">
        <v>26</v>
      </c>
      <c r="L178" s="13">
        <v>171059</v>
      </c>
      <c r="M178" s="13" t="s">
        <v>1156</v>
      </c>
      <c r="O178" s="13">
        <v>1</v>
      </c>
      <c r="P178" s="13" t="s">
        <v>1157</v>
      </c>
      <c r="Q178" s="13" t="s">
        <v>1158</v>
      </c>
    </row>
    <row r="179" spans="1:17" s="13" customFormat="1" x14ac:dyDescent="0.25">
      <c r="A179" s="13">
        <v>8003879954</v>
      </c>
      <c r="B179" s="13">
        <v>36</v>
      </c>
      <c r="C179" s="13">
        <v>10102017</v>
      </c>
      <c r="D179" s="13">
        <v>341</v>
      </c>
      <c r="E179" s="13" t="s">
        <v>29</v>
      </c>
      <c r="F179" s="13">
        <v>9938</v>
      </c>
      <c r="G179" s="13" t="s">
        <v>1159</v>
      </c>
      <c r="H179" s="14">
        <v>1000</v>
      </c>
      <c r="I179" s="13" t="s">
        <v>28</v>
      </c>
      <c r="J179" s="14">
        <v>203008.7</v>
      </c>
      <c r="K179" s="13" t="s">
        <v>26</v>
      </c>
      <c r="L179" s="13">
        <v>171058</v>
      </c>
      <c r="M179" s="13" t="s">
        <v>1160</v>
      </c>
      <c r="O179" s="13">
        <v>1</v>
      </c>
      <c r="P179" s="13" t="s">
        <v>1161</v>
      </c>
      <c r="Q179" s="13" t="s">
        <v>1162</v>
      </c>
    </row>
    <row r="180" spans="1:17" s="13" customFormat="1" x14ac:dyDescent="0.25">
      <c r="A180" s="13">
        <v>8003879954</v>
      </c>
      <c r="B180" s="13">
        <v>35</v>
      </c>
      <c r="C180" s="13">
        <v>10102017</v>
      </c>
      <c r="D180" s="13">
        <v>299</v>
      </c>
      <c r="E180" s="13" t="s">
        <v>30</v>
      </c>
      <c r="F180" s="13">
        <v>9938</v>
      </c>
      <c r="G180" s="13" t="s">
        <v>1159</v>
      </c>
      <c r="H180" s="14">
        <v>0.01</v>
      </c>
      <c r="I180" s="13" t="s">
        <v>28</v>
      </c>
      <c r="J180" s="14">
        <v>204008.7</v>
      </c>
      <c r="K180" s="13" t="s">
        <v>26</v>
      </c>
      <c r="L180" s="13">
        <v>171058</v>
      </c>
      <c r="M180" s="13" t="s">
        <v>1163</v>
      </c>
      <c r="O180" s="13">
        <v>1</v>
      </c>
    </row>
    <row r="181" spans="1:17" s="13" customFormat="1" x14ac:dyDescent="0.25">
      <c r="A181" s="13">
        <v>8003879954</v>
      </c>
      <c r="B181" s="13">
        <v>34</v>
      </c>
      <c r="C181" s="13">
        <v>10102017</v>
      </c>
      <c r="D181" s="13">
        <v>489</v>
      </c>
      <c r="E181" s="13" t="s">
        <v>31</v>
      </c>
      <c r="F181" s="13">
        <v>9938</v>
      </c>
      <c r="G181" s="13" t="s">
        <v>1159</v>
      </c>
      <c r="H181" s="14">
        <v>0.1</v>
      </c>
      <c r="I181" s="13" t="s">
        <v>28</v>
      </c>
      <c r="J181" s="14">
        <v>204008.71</v>
      </c>
      <c r="K181" s="13" t="s">
        <v>26</v>
      </c>
      <c r="L181" s="13">
        <v>171058</v>
      </c>
      <c r="M181" s="13" t="s">
        <v>1163</v>
      </c>
      <c r="O181" s="13">
        <v>1</v>
      </c>
    </row>
    <row r="182" spans="1:17" s="13" customFormat="1" x14ac:dyDescent="0.25">
      <c r="A182" s="13">
        <v>8003879954</v>
      </c>
      <c r="B182" s="13">
        <v>33</v>
      </c>
      <c r="C182" s="13">
        <v>10102017</v>
      </c>
      <c r="D182" s="13">
        <v>341</v>
      </c>
      <c r="E182" s="13" t="s">
        <v>29</v>
      </c>
      <c r="F182" s="13">
        <v>9938</v>
      </c>
      <c r="G182" s="13" t="s">
        <v>1164</v>
      </c>
      <c r="H182" s="14">
        <v>180</v>
      </c>
      <c r="I182" s="13" t="s">
        <v>28</v>
      </c>
      <c r="J182" s="14">
        <v>204008.81</v>
      </c>
      <c r="K182" s="13" t="s">
        <v>26</v>
      </c>
      <c r="L182" s="13">
        <v>171058</v>
      </c>
      <c r="M182" s="13" t="s">
        <v>165</v>
      </c>
      <c r="O182" s="13">
        <v>1</v>
      </c>
      <c r="P182" s="13" t="s">
        <v>1165</v>
      </c>
      <c r="Q182" s="13" t="s">
        <v>1166</v>
      </c>
    </row>
    <row r="183" spans="1:17" s="13" customFormat="1" x14ac:dyDescent="0.25">
      <c r="A183" s="13">
        <v>8003879954</v>
      </c>
      <c r="B183" s="13">
        <v>32</v>
      </c>
      <c r="C183" s="13">
        <v>10102017</v>
      </c>
      <c r="D183" s="13">
        <v>299</v>
      </c>
      <c r="E183" s="13" t="s">
        <v>30</v>
      </c>
      <c r="F183" s="13">
        <v>9938</v>
      </c>
      <c r="G183" s="13" t="s">
        <v>1164</v>
      </c>
      <c r="H183" s="14">
        <v>0.01</v>
      </c>
      <c r="I183" s="13" t="s">
        <v>28</v>
      </c>
      <c r="J183" s="14">
        <v>204188.81</v>
      </c>
      <c r="K183" s="13" t="s">
        <v>26</v>
      </c>
      <c r="L183" s="13">
        <v>171058</v>
      </c>
      <c r="M183" s="13" t="s">
        <v>1167</v>
      </c>
      <c r="O183" s="13">
        <v>1</v>
      </c>
    </row>
    <row r="184" spans="1:17" s="13" customFormat="1" x14ac:dyDescent="0.25">
      <c r="A184" s="13">
        <v>8003879954</v>
      </c>
      <c r="B184" s="13">
        <v>31</v>
      </c>
      <c r="C184" s="13">
        <v>10102017</v>
      </c>
      <c r="D184" s="13">
        <v>489</v>
      </c>
      <c r="E184" s="13" t="s">
        <v>31</v>
      </c>
      <c r="F184" s="13">
        <v>9938</v>
      </c>
      <c r="G184" s="13" t="s">
        <v>1164</v>
      </c>
      <c r="H184" s="14">
        <v>0.1</v>
      </c>
      <c r="I184" s="13" t="s">
        <v>28</v>
      </c>
      <c r="J184" s="14">
        <v>204188.82</v>
      </c>
      <c r="K184" s="13" t="s">
        <v>26</v>
      </c>
      <c r="L184" s="13">
        <v>171058</v>
      </c>
      <c r="M184" s="13" t="s">
        <v>1167</v>
      </c>
      <c r="O184" s="13">
        <v>1</v>
      </c>
    </row>
    <row r="185" spans="1:17" s="13" customFormat="1" x14ac:dyDescent="0.25">
      <c r="A185" s="13">
        <v>8003879954</v>
      </c>
      <c r="B185" s="13">
        <v>30</v>
      </c>
      <c r="C185" s="13">
        <v>10102017</v>
      </c>
      <c r="D185" s="13">
        <v>343</v>
      </c>
      <c r="E185" s="13" t="s">
        <v>49</v>
      </c>
      <c r="F185" s="13">
        <v>9938</v>
      </c>
      <c r="G185" s="13" t="s">
        <v>1168</v>
      </c>
      <c r="H185" s="14">
        <v>618.79999999999995</v>
      </c>
      <c r="I185" s="13" t="s">
        <v>28</v>
      </c>
      <c r="J185" s="14">
        <v>204188.92</v>
      </c>
      <c r="K185" s="13" t="s">
        <v>26</v>
      </c>
      <c r="L185" s="13">
        <v>171058</v>
      </c>
      <c r="M185" s="13" t="s">
        <v>444</v>
      </c>
      <c r="O185" s="13">
        <v>1</v>
      </c>
    </row>
    <row r="186" spans="1:17" s="13" customFormat="1" x14ac:dyDescent="0.25">
      <c r="A186" s="13">
        <v>8003879954</v>
      </c>
      <c r="B186" s="13">
        <v>29</v>
      </c>
      <c r="C186" s="13">
        <v>10102017</v>
      </c>
      <c r="D186" s="13">
        <v>60</v>
      </c>
      <c r="E186" s="13" t="s">
        <v>43</v>
      </c>
      <c r="F186" s="13">
        <v>9938</v>
      </c>
      <c r="G186" s="13" t="s">
        <v>1169</v>
      </c>
      <c r="H186" s="14">
        <v>641.29999999999995</v>
      </c>
      <c r="I186" s="13" t="s">
        <v>28</v>
      </c>
      <c r="J186" s="14">
        <v>204807.72</v>
      </c>
      <c r="K186" s="13" t="s">
        <v>26</v>
      </c>
      <c r="L186" s="13">
        <v>171057</v>
      </c>
      <c r="M186" s="13" t="s">
        <v>1170</v>
      </c>
      <c r="O186" s="13">
        <v>1</v>
      </c>
      <c r="P186" s="13" t="s">
        <v>1171</v>
      </c>
      <c r="Q186" s="13" t="s">
        <v>1172</v>
      </c>
    </row>
    <row r="187" spans="1:17" s="13" customFormat="1" x14ac:dyDescent="0.25">
      <c r="A187" s="13">
        <v>8003879954</v>
      </c>
      <c r="B187" s="13">
        <v>28</v>
      </c>
      <c r="C187" s="13">
        <v>10102017</v>
      </c>
      <c r="D187" s="13">
        <v>60</v>
      </c>
      <c r="E187" s="13" t="s">
        <v>43</v>
      </c>
      <c r="F187" s="13">
        <v>9938</v>
      </c>
      <c r="G187" s="13" t="s">
        <v>1173</v>
      </c>
      <c r="H187" s="14">
        <v>390</v>
      </c>
      <c r="I187" s="13" t="s">
        <v>28</v>
      </c>
      <c r="J187" s="14">
        <v>205449.02</v>
      </c>
      <c r="K187" s="13" t="s">
        <v>26</v>
      </c>
      <c r="L187" s="13">
        <v>170354</v>
      </c>
      <c r="M187" s="13" t="s">
        <v>1174</v>
      </c>
      <c r="O187" s="13">
        <v>1</v>
      </c>
      <c r="P187" s="13" t="s">
        <v>1175</v>
      </c>
      <c r="Q187" s="13" t="s">
        <v>1176</v>
      </c>
    </row>
    <row r="188" spans="1:17" s="13" customFormat="1" x14ac:dyDescent="0.25">
      <c r="A188" s="13">
        <v>8003879954</v>
      </c>
      <c r="B188" s="13">
        <v>27</v>
      </c>
      <c r="C188" s="13">
        <v>10102017</v>
      </c>
      <c r="D188" s="13">
        <v>341</v>
      </c>
      <c r="E188" s="13" t="s">
        <v>29</v>
      </c>
      <c r="F188" s="13">
        <v>9938</v>
      </c>
      <c r="G188" s="13" t="s">
        <v>1177</v>
      </c>
      <c r="H188" s="14">
        <v>180</v>
      </c>
      <c r="I188" s="13" t="s">
        <v>28</v>
      </c>
      <c r="J188" s="14">
        <v>205839.02</v>
      </c>
      <c r="K188" s="13" t="s">
        <v>26</v>
      </c>
      <c r="L188" s="13">
        <v>170350</v>
      </c>
      <c r="M188" s="13" t="s">
        <v>512</v>
      </c>
      <c r="O188" s="13">
        <v>1</v>
      </c>
      <c r="P188" s="13" t="s">
        <v>1178</v>
      </c>
      <c r="Q188" s="13" t="s">
        <v>1179</v>
      </c>
    </row>
    <row r="189" spans="1:17" s="13" customFormat="1" x14ac:dyDescent="0.25">
      <c r="A189" s="13">
        <v>8003879954</v>
      </c>
      <c r="B189" s="13">
        <v>26</v>
      </c>
      <c r="C189" s="13">
        <v>10102017</v>
      </c>
      <c r="D189" s="13">
        <v>299</v>
      </c>
      <c r="E189" s="13" t="s">
        <v>30</v>
      </c>
      <c r="F189" s="13">
        <v>9938</v>
      </c>
      <c r="G189" s="13" t="s">
        <v>1177</v>
      </c>
      <c r="H189" s="14">
        <v>0.01</v>
      </c>
      <c r="I189" s="13" t="s">
        <v>28</v>
      </c>
      <c r="J189" s="14">
        <v>206019.02</v>
      </c>
      <c r="K189" s="13" t="s">
        <v>26</v>
      </c>
      <c r="L189" s="13">
        <v>170350</v>
      </c>
      <c r="M189" s="13" t="s">
        <v>1180</v>
      </c>
      <c r="O189" s="13">
        <v>1</v>
      </c>
    </row>
    <row r="190" spans="1:17" s="13" customFormat="1" x14ac:dyDescent="0.25">
      <c r="A190" s="13">
        <v>8003879954</v>
      </c>
      <c r="B190" s="13">
        <v>25</v>
      </c>
      <c r="C190" s="13">
        <v>10102017</v>
      </c>
      <c r="D190" s="13">
        <v>489</v>
      </c>
      <c r="E190" s="13" t="s">
        <v>31</v>
      </c>
      <c r="F190" s="13">
        <v>9938</v>
      </c>
      <c r="G190" s="13" t="s">
        <v>1177</v>
      </c>
      <c r="H190" s="14">
        <v>0.1</v>
      </c>
      <c r="I190" s="13" t="s">
        <v>28</v>
      </c>
      <c r="J190" s="14">
        <v>206019.03</v>
      </c>
      <c r="K190" s="13" t="s">
        <v>26</v>
      </c>
      <c r="L190" s="13">
        <v>170350</v>
      </c>
      <c r="M190" s="13" t="s">
        <v>1180</v>
      </c>
      <c r="O190" s="13">
        <v>1</v>
      </c>
    </row>
    <row r="191" spans="1:17" s="13" customFormat="1" x14ac:dyDescent="0.25">
      <c r="A191" s="13">
        <v>8003879954</v>
      </c>
      <c r="B191" s="13">
        <v>24</v>
      </c>
      <c r="C191" s="13">
        <v>10102017</v>
      </c>
      <c r="D191" s="13">
        <v>341</v>
      </c>
      <c r="E191" s="13" t="s">
        <v>29</v>
      </c>
      <c r="F191" s="13">
        <v>9938</v>
      </c>
      <c r="G191" s="13" t="s">
        <v>1181</v>
      </c>
      <c r="H191" s="14">
        <v>738.74</v>
      </c>
      <c r="I191" s="13" t="s">
        <v>28</v>
      </c>
      <c r="J191" s="14">
        <v>206019.13</v>
      </c>
      <c r="K191" s="13" t="s">
        <v>26</v>
      </c>
      <c r="L191" s="13">
        <v>170353</v>
      </c>
      <c r="M191" s="13" t="s">
        <v>120</v>
      </c>
      <c r="O191" s="13">
        <v>1</v>
      </c>
      <c r="P191" s="13" t="s">
        <v>1182</v>
      </c>
      <c r="Q191" s="13" t="s">
        <v>1183</v>
      </c>
    </row>
    <row r="192" spans="1:17" s="13" customFormat="1" x14ac:dyDescent="0.25">
      <c r="A192" s="13">
        <v>8003879954</v>
      </c>
      <c r="B192" s="13">
        <v>23</v>
      </c>
      <c r="C192" s="13">
        <v>10102017</v>
      </c>
      <c r="D192" s="13">
        <v>299</v>
      </c>
      <c r="E192" s="13" t="s">
        <v>30</v>
      </c>
      <c r="F192" s="13">
        <v>9938</v>
      </c>
      <c r="G192" s="13" t="s">
        <v>1181</v>
      </c>
      <c r="H192" s="14">
        <v>0.01</v>
      </c>
      <c r="I192" s="13" t="s">
        <v>28</v>
      </c>
      <c r="J192" s="14">
        <v>206757.87</v>
      </c>
      <c r="K192" s="13" t="s">
        <v>26</v>
      </c>
      <c r="L192" s="13">
        <v>170353</v>
      </c>
      <c r="M192" s="13" t="s">
        <v>1184</v>
      </c>
      <c r="O192" s="13">
        <v>1</v>
      </c>
    </row>
    <row r="193" spans="1:17" s="13" customFormat="1" x14ac:dyDescent="0.25">
      <c r="A193" s="13">
        <v>8003879954</v>
      </c>
      <c r="B193" s="13">
        <v>22</v>
      </c>
      <c r="C193" s="13">
        <v>10102017</v>
      </c>
      <c r="D193" s="13">
        <v>489</v>
      </c>
      <c r="E193" s="13" t="s">
        <v>31</v>
      </c>
      <c r="F193" s="13">
        <v>9938</v>
      </c>
      <c r="G193" s="13" t="s">
        <v>1181</v>
      </c>
      <c r="H193" s="14">
        <v>0.1</v>
      </c>
      <c r="I193" s="13" t="s">
        <v>28</v>
      </c>
      <c r="J193" s="14">
        <v>206757.88</v>
      </c>
      <c r="K193" s="13" t="s">
        <v>26</v>
      </c>
      <c r="L193" s="13">
        <v>170353</v>
      </c>
      <c r="M193" s="13" t="s">
        <v>1184</v>
      </c>
      <c r="O193" s="13">
        <v>1</v>
      </c>
    </row>
    <row r="194" spans="1:17" s="13" customFormat="1" x14ac:dyDescent="0.25">
      <c r="A194" s="13">
        <v>8003879954</v>
      </c>
      <c r="B194" s="13">
        <v>21</v>
      </c>
      <c r="C194" s="13">
        <v>10102017</v>
      </c>
      <c r="D194" s="13">
        <v>341</v>
      </c>
      <c r="E194" s="13" t="s">
        <v>29</v>
      </c>
      <c r="F194" s="13">
        <v>9938</v>
      </c>
      <c r="G194" s="13" t="s">
        <v>1185</v>
      </c>
      <c r="H194" s="14">
        <v>90</v>
      </c>
      <c r="I194" s="13" t="s">
        <v>28</v>
      </c>
      <c r="J194" s="14">
        <v>206757.98</v>
      </c>
      <c r="K194" s="13" t="s">
        <v>26</v>
      </c>
      <c r="L194" s="13">
        <v>170353</v>
      </c>
      <c r="M194" s="13" t="s">
        <v>468</v>
      </c>
      <c r="O194" s="13">
        <v>1</v>
      </c>
      <c r="P194" s="13" t="s">
        <v>1186</v>
      </c>
      <c r="Q194" s="13" t="s">
        <v>1187</v>
      </c>
    </row>
    <row r="195" spans="1:17" s="13" customFormat="1" x14ac:dyDescent="0.25">
      <c r="A195" s="13">
        <v>8003879954</v>
      </c>
      <c r="B195" s="13">
        <v>20</v>
      </c>
      <c r="C195" s="13">
        <v>10102017</v>
      </c>
      <c r="D195" s="13">
        <v>299</v>
      </c>
      <c r="E195" s="13" t="s">
        <v>30</v>
      </c>
      <c r="F195" s="13">
        <v>9938</v>
      </c>
      <c r="G195" s="13" t="s">
        <v>1185</v>
      </c>
      <c r="H195" s="14">
        <v>0.01</v>
      </c>
      <c r="I195" s="13" t="s">
        <v>28</v>
      </c>
      <c r="J195" s="14">
        <v>206847.98</v>
      </c>
      <c r="K195" s="13" t="s">
        <v>26</v>
      </c>
      <c r="L195" s="13">
        <v>170353</v>
      </c>
      <c r="M195" s="13" t="s">
        <v>1188</v>
      </c>
      <c r="O195" s="13">
        <v>1</v>
      </c>
    </row>
    <row r="196" spans="1:17" s="13" customFormat="1" x14ac:dyDescent="0.25">
      <c r="A196" s="13">
        <v>8003879954</v>
      </c>
      <c r="B196" s="13">
        <v>19</v>
      </c>
      <c r="C196" s="13">
        <v>10102017</v>
      </c>
      <c r="D196" s="13">
        <v>489</v>
      </c>
      <c r="E196" s="13" t="s">
        <v>31</v>
      </c>
      <c r="F196" s="13">
        <v>9938</v>
      </c>
      <c r="G196" s="13" t="s">
        <v>1185</v>
      </c>
      <c r="H196" s="14">
        <v>0.1</v>
      </c>
      <c r="I196" s="13" t="s">
        <v>28</v>
      </c>
      <c r="J196" s="14">
        <v>206847.99</v>
      </c>
      <c r="K196" s="13" t="s">
        <v>26</v>
      </c>
      <c r="L196" s="13">
        <v>170353</v>
      </c>
      <c r="M196" s="13" t="s">
        <v>1188</v>
      </c>
      <c r="O196" s="13">
        <v>1</v>
      </c>
    </row>
    <row r="197" spans="1:17" s="13" customFormat="1" x14ac:dyDescent="0.25">
      <c r="A197" s="13">
        <v>8003879954</v>
      </c>
      <c r="B197" s="13">
        <v>18</v>
      </c>
      <c r="C197" s="13">
        <v>10102017</v>
      </c>
      <c r="D197" s="13">
        <v>341</v>
      </c>
      <c r="E197" s="13" t="s">
        <v>29</v>
      </c>
      <c r="F197" s="13">
        <v>9938</v>
      </c>
      <c r="G197" s="13" t="s">
        <v>1189</v>
      </c>
      <c r="H197" s="14">
        <v>4240</v>
      </c>
      <c r="I197" s="13" t="s">
        <v>28</v>
      </c>
      <c r="J197" s="14">
        <v>206848.09</v>
      </c>
      <c r="K197" s="13" t="s">
        <v>26</v>
      </c>
      <c r="L197" s="13">
        <v>170352</v>
      </c>
      <c r="M197" s="13" t="s">
        <v>1190</v>
      </c>
      <c r="O197" s="13">
        <v>1</v>
      </c>
      <c r="P197" s="13" t="s">
        <v>1191</v>
      </c>
      <c r="Q197" s="13" t="s">
        <v>1192</v>
      </c>
    </row>
    <row r="198" spans="1:17" s="13" customFormat="1" x14ac:dyDescent="0.25">
      <c r="A198" s="13">
        <v>8003879954</v>
      </c>
      <c r="B198" s="13">
        <v>17</v>
      </c>
      <c r="C198" s="13">
        <v>10102017</v>
      </c>
      <c r="D198" s="13">
        <v>299</v>
      </c>
      <c r="E198" s="13" t="s">
        <v>30</v>
      </c>
      <c r="F198" s="13">
        <v>9938</v>
      </c>
      <c r="G198" s="13" t="s">
        <v>1189</v>
      </c>
      <c r="H198" s="14">
        <v>0.01</v>
      </c>
      <c r="I198" s="13" t="s">
        <v>28</v>
      </c>
      <c r="J198" s="14">
        <v>211088.09</v>
      </c>
      <c r="K198" s="13" t="s">
        <v>26</v>
      </c>
      <c r="L198" s="13">
        <v>170352</v>
      </c>
      <c r="M198" s="13" t="s">
        <v>1193</v>
      </c>
      <c r="O198" s="13">
        <v>1</v>
      </c>
    </row>
    <row r="199" spans="1:17" s="13" customFormat="1" x14ac:dyDescent="0.25">
      <c r="A199" s="13">
        <v>8003879954</v>
      </c>
      <c r="B199" s="13">
        <v>16</v>
      </c>
      <c r="C199" s="13">
        <v>10102017</v>
      </c>
      <c r="D199" s="13">
        <v>489</v>
      </c>
      <c r="E199" s="13" t="s">
        <v>31</v>
      </c>
      <c r="F199" s="13">
        <v>9938</v>
      </c>
      <c r="G199" s="13" t="s">
        <v>1189</v>
      </c>
      <c r="H199" s="14">
        <v>0.1</v>
      </c>
      <c r="I199" s="13" t="s">
        <v>28</v>
      </c>
      <c r="J199" s="14">
        <v>211088.1</v>
      </c>
      <c r="K199" s="13" t="s">
        <v>26</v>
      </c>
      <c r="L199" s="13">
        <v>170352</v>
      </c>
      <c r="M199" s="13" t="s">
        <v>1193</v>
      </c>
      <c r="O199" s="13">
        <v>1</v>
      </c>
    </row>
    <row r="200" spans="1:17" s="13" customFormat="1" x14ac:dyDescent="0.25">
      <c r="A200" s="13">
        <v>8003879954</v>
      </c>
      <c r="B200" s="13">
        <v>15</v>
      </c>
      <c r="C200" s="13">
        <v>10102017</v>
      </c>
      <c r="D200" s="13">
        <v>341</v>
      </c>
      <c r="E200" s="13" t="s">
        <v>29</v>
      </c>
      <c r="F200" s="13">
        <v>9938</v>
      </c>
      <c r="G200" s="13" t="s">
        <v>1194</v>
      </c>
      <c r="H200" s="14">
        <v>35</v>
      </c>
      <c r="I200" s="13" t="s">
        <v>28</v>
      </c>
      <c r="J200" s="14">
        <v>211088.2</v>
      </c>
      <c r="K200" s="13" t="s">
        <v>26</v>
      </c>
      <c r="L200" s="13">
        <v>170350</v>
      </c>
      <c r="M200" s="13" t="s">
        <v>97</v>
      </c>
      <c r="O200" s="13">
        <v>1</v>
      </c>
      <c r="P200" s="13" t="s">
        <v>1195</v>
      </c>
      <c r="Q200" s="13" t="s">
        <v>1196</v>
      </c>
    </row>
    <row r="201" spans="1:17" s="13" customFormat="1" x14ac:dyDescent="0.25">
      <c r="A201" s="13">
        <v>8003879954</v>
      </c>
      <c r="B201" s="13">
        <v>14</v>
      </c>
      <c r="C201" s="13">
        <v>10102017</v>
      </c>
      <c r="D201" s="13">
        <v>299</v>
      </c>
      <c r="E201" s="13" t="s">
        <v>30</v>
      </c>
      <c r="F201" s="13">
        <v>9938</v>
      </c>
      <c r="G201" s="13" t="s">
        <v>1194</v>
      </c>
      <c r="H201" s="14">
        <v>0.01</v>
      </c>
      <c r="I201" s="13" t="s">
        <v>28</v>
      </c>
      <c r="J201" s="14">
        <v>211123.20000000001</v>
      </c>
      <c r="K201" s="13" t="s">
        <v>26</v>
      </c>
      <c r="L201" s="13">
        <v>170350</v>
      </c>
      <c r="M201" s="13" t="s">
        <v>1197</v>
      </c>
      <c r="O201" s="13">
        <v>1</v>
      </c>
    </row>
    <row r="202" spans="1:17" s="13" customFormat="1" x14ac:dyDescent="0.25">
      <c r="A202" s="13">
        <v>8003879954</v>
      </c>
      <c r="B202" s="13">
        <v>13</v>
      </c>
      <c r="C202" s="13">
        <v>10102017</v>
      </c>
      <c r="D202" s="13">
        <v>489</v>
      </c>
      <c r="E202" s="13" t="s">
        <v>31</v>
      </c>
      <c r="F202" s="13">
        <v>9938</v>
      </c>
      <c r="G202" s="13" t="s">
        <v>1194</v>
      </c>
      <c r="H202" s="14">
        <v>0.1</v>
      </c>
      <c r="I202" s="13" t="s">
        <v>28</v>
      </c>
      <c r="J202" s="14">
        <v>211123.21</v>
      </c>
      <c r="K202" s="13" t="s">
        <v>26</v>
      </c>
      <c r="L202" s="13">
        <v>170350</v>
      </c>
      <c r="M202" s="13" t="s">
        <v>1197</v>
      </c>
      <c r="O202" s="13">
        <v>1</v>
      </c>
    </row>
    <row r="203" spans="1:17" s="13" customFormat="1" x14ac:dyDescent="0.25">
      <c r="A203" s="13">
        <v>8003879954</v>
      </c>
      <c r="B203" s="13">
        <v>12</v>
      </c>
      <c r="C203" s="13">
        <v>10102017</v>
      </c>
      <c r="D203" s="13">
        <v>341</v>
      </c>
      <c r="E203" s="13" t="s">
        <v>29</v>
      </c>
      <c r="F203" s="13">
        <v>9938</v>
      </c>
      <c r="G203" s="13" t="s">
        <v>1198</v>
      </c>
      <c r="H203" s="14">
        <v>1069.3699999999999</v>
      </c>
      <c r="I203" s="13" t="s">
        <v>28</v>
      </c>
      <c r="J203" s="14">
        <v>211123.31</v>
      </c>
      <c r="K203" s="13" t="s">
        <v>26</v>
      </c>
      <c r="L203" s="13">
        <v>170350</v>
      </c>
      <c r="M203" s="13" t="s">
        <v>1199</v>
      </c>
      <c r="O203" s="13">
        <v>1</v>
      </c>
      <c r="P203" s="13" t="s">
        <v>1200</v>
      </c>
      <c r="Q203" s="13" t="s">
        <v>1201</v>
      </c>
    </row>
    <row r="204" spans="1:17" s="13" customFormat="1" x14ac:dyDescent="0.25">
      <c r="A204" s="13">
        <v>8003879954</v>
      </c>
      <c r="B204" s="13">
        <v>11</v>
      </c>
      <c r="C204" s="13">
        <v>10102017</v>
      </c>
      <c r="D204" s="13">
        <v>299</v>
      </c>
      <c r="E204" s="13" t="s">
        <v>30</v>
      </c>
      <c r="F204" s="13">
        <v>9938</v>
      </c>
      <c r="G204" s="13" t="s">
        <v>1198</v>
      </c>
      <c r="H204" s="14">
        <v>0.01</v>
      </c>
      <c r="I204" s="13" t="s">
        <v>28</v>
      </c>
      <c r="J204" s="14">
        <v>212192.68</v>
      </c>
      <c r="K204" s="13" t="s">
        <v>26</v>
      </c>
      <c r="L204" s="13">
        <v>170350</v>
      </c>
      <c r="M204" s="13" t="s">
        <v>1202</v>
      </c>
      <c r="O204" s="13">
        <v>1</v>
      </c>
    </row>
    <row r="205" spans="1:17" s="13" customFormat="1" x14ac:dyDescent="0.25">
      <c r="A205" s="13">
        <v>8003879954</v>
      </c>
      <c r="B205" s="13">
        <v>10</v>
      </c>
      <c r="C205" s="13">
        <v>10102017</v>
      </c>
      <c r="D205" s="13">
        <v>489</v>
      </c>
      <c r="E205" s="13" t="s">
        <v>31</v>
      </c>
      <c r="F205" s="13">
        <v>9938</v>
      </c>
      <c r="G205" s="13" t="s">
        <v>1198</v>
      </c>
      <c r="H205" s="14">
        <v>0.1</v>
      </c>
      <c r="I205" s="13" t="s">
        <v>28</v>
      </c>
      <c r="J205" s="14">
        <v>212192.69</v>
      </c>
      <c r="K205" s="13" t="s">
        <v>26</v>
      </c>
      <c r="L205" s="13">
        <v>170350</v>
      </c>
      <c r="M205" s="13" t="s">
        <v>1202</v>
      </c>
      <c r="O205" s="13">
        <v>1</v>
      </c>
    </row>
    <row r="206" spans="1:17" s="13" customFormat="1" x14ac:dyDescent="0.25">
      <c r="A206" s="13">
        <v>8003879954</v>
      </c>
      <c r="B206" s="13">
        <v>9</v>
      </c>
      <c r="C206" s="13">
        <v>10102017</v>
      </c>
      <c r="D206" s="13">
        <v>341</v>
      </c>
      <c r="E206" s="13" t="s">
        <v>29</v>
      </c>
      <c r="F206" s="13">
        <v>9938</v>
      </c>
      <c r="G206" s="13" t="s">
        <v>1203</v>
      </c>
      <c r="H206" s="14">
        <v>56</v>
      </c>
      <c r="I206" s="13" t="s">
        <v>28</v>
      </c>
      <c r="J206" s="14">
        <v>212192.79</v>
      </c>
      <c r="K206" s="13" t="s">
        <v>26</v>
      </c>
      <c r="L206" s="13">
        <v>170351</v>
      </c>
      <c r="M206" s="13" t="s">
        <v>265</v>
      </c>
      <c r="O206" s="13">
        <v>1</v>
      </c>
      <c r="P206" s="13" t="s">
        <v>1204</v>
      </c>
      <c r="Q206" s="13" t="s">
        <v>1205</v>
      </c>
    </row>
    <row r="207" spans="1:17" s="13" customFormat="1" x14ac:dyDescent="0.25">
      <c r="A207" s="13">
        <v>8003879954</v>
      </c>
      <c r="B207" s="13">
        <v>8</v>
      </c>
      <c r="C207" s="13">
        <v>10102017</v>
      </c>
      <c r="D207" s="13">
        <v>299</v>
      </c>
      <c r="E207" s="13" t="s">
        <v>30</v>
      </c>
      <c r="F207" s="13">
        <v>9938</v>
      </c>
      <c r="G207" s="13" t="s">
        <v>1203</v>
      </c>
      <c r="H207" s="14">
        <v>0.01</v>
      </c>
      <c r="I207" s="13" t="s">
        <v>28</v>
      </c>
      <c r="J207" s="14">
        <v>212248.79</v>
      </c>
      <c r="K207" s="13" t="s">
        <v>26</v>
      </c>
      <c r="L207" s="13">
        <v>170351</v>
      </c>
      <c r="M207" s="13" t="s">
        <v>1206</v>
      </c>
      <c r="O207" s="13">
        <v>1</v>
      </c>
    </row>
    <row r="208" spans="1:17" s="13" customFormat="1" x14ac:dyDescent="0.25">
      <c r="A208" s="13">
        <v>8003879954</v>
      </c>
      <c r="B208" s="13">
        <v>7</v>
      </c>
      <c r="C208" s="13">
        <v>10102017</v>
      </c>
      <c r="D208" s="13">
        <v>489</v>
      </c>
      <c r="E208" s="13" t="s">
        <v>31</v>
      </c>
      <c r="F208" s="13">
        <v>9938</v>
      </c>
      <c r="G208" s="13" t="s">
        <v>1203</v>
      </c>
      <c r="H208" s="14">
        <v>0.1</v>
      </c>
      <c r="I208" s="13" t="s">
        <v>28</v>
      </c>
      <c r="J208" s="14">
        <v>212248.8</v>
      </c>
      <c r="K208" s="13" t="s">
        <v>26</v>
      </c>
      <c r="L208" s="13">
        <v>170351</v>
      </c>
      <c r="M208" s="13" t="s">
        <v>1206</v>
      </c>
      <c r="O208" s="13">
        <v>1</v>
      </c>
    </row>
    <row r="209" spans="1:17" s="13" customFormat="1" x14ac:dyDescent="0.25">
      <c r="A209" s="13">
        <v>8003879954</v>
      </c>
      <c r="B209" s="13">
        <v>6</v>
      </c>
      <c r="C209" s="13">
        <v>10102017</v>
      </c>
      <c r="D209" s="13">
        <v>341</v>
      </c>
      <c r="E209" s="13" t="s">
        <v>29</v>
      </c>
      <c r="F209" s="13">
        <v>9938</v>
      </c>
      <c r="G209" s="13" t="s">
        <v>1207</v>
      </c>
      <c r="H209" s="14">
        <v>2000</v>
      </c>
      <c r="I209" s="13" t="s">
        <v>28</v>
      </c>
      <c r="J209" s="14">
        <v>212248.9</v>
      </c>
      <c r="K209" s="13" t="s">
        <v>26</v>
      </c>
      <c r="L209" s="13">
        <v>170350</v>
      </c>
      <c r="M209" s="13" t="s">
        <v>145</v>
      </c>
      <c r="O209" s="13">
        <v>1</v>
      </c>
      <c r="P209" s="13" t="s">
        <v>1208</v>
      </c>
      <c r="Q209" s="13" t="s">
        <v>1209</v>
      </c>
    </row>
    <row r="210" spans="1:17" s="13" customFormat="1" x14ac:dyDescent="0.25">
      <c r="A210" s="13">
        <v>8003879954</v>
      </c>
      <c r="B210" s="13">
        <v>5</v>
      </c>
      <c r="C210" s="13">
        <v>10102017</v>
      </c>
      <c r="D210" s="13">
        <v>299</v>
      </c>
      <c r="E210" s="13" t="s">
        <v>30</v>
      </c>
      <c r="F210" s="13">
        <v>9938</v>
      </c>
      <c r="G210" s="13" t="s">
        <v>1207</v>
      </c>
      <c r="H210" s="14">
        <v>0.01</v>
      </c>
      <c r="I210" s="13" t="s">
        <v>28</v>
      </c>
      <c r="J210" s="14">
        <v>214248.9</v>
      </c>
      <c r="K210" s="13" t="s">
        <v>26</v>
      </c>
      <c r="L210" s="13">
        <v>170350</v>
      </c>
      <c r="M210" s="13" t="s">
        <v>1210</v>
      </c>
      <c r="O210" s="13">
        <v>1</v>
      </c>
    </row>
    <row r="211" spans="1:17" s="13" customFormat="1" x14ac:dyDescent="0.25">
      <c r="A211" s="13">
        <v>8003879954</v>
      </c>
      <c r="B211" s="13">
        <v>4</v>
      </c>
      <c r="C211" s="13">
        <v>10102017</v>
      </c>
      <c r="D211" s="13">
        <v>489</v>
      </c>
      <c r="E211" s="13" t="s">
        <v>31</v>
      </c>
      <c r="F211" s="13">
        <v>9938</v>
      </c>
      <c r="G211" s="13" t="s">
        <v>1207</v>
      </c>
      <c r="H211" s="14">
        <v>0.1</v>
      </c>
      <c r="I211" s="13" t="s">
        <v>28</v>
      </c>
      <c r="J211" s="14">
        <v>214248.91</v>
      </c>
      <c r="K211" s="13" t="s">
        <v>26</v>
      </c>
      <c r="L211" s="13">
        <v>170350</v>
      </c>
      <c r="M211" s="13" t="s">
        <v>1210</v>
      </c>
      <c r="O211" s="13">
        <v>1</v>
      </c>
    </row>
    <row r="212" spans="1:17" s="13" customFormat="1" x14ac:dyDescent="0.25">
      <c r="A212" s="13">
        <v>8003879954</v>
      </c>
      <c r="B212" s="13">
        <v>3</v>
      </c>
      <c r="C212" s="13">
        <v>10102017</v>
      </c>
      <c r="D212" s="13">
        <v>341</v>
      </c>
      <c r="E212" s="13" t="s">
        <v>29</v>
      </c>
      <c r="F212" s="13">
        <v>9938</v>
      </c>
      <c r="G212" s="13" t="s">
        <v>1211</v>
      </c>
      <c r="H212" s="14">
        <v>850</v>
      </c>
      <c r="I212" s="13" t="s">
        <v>28</v>
      </c>
      <c r="J212" s="14">
        <v>214249.01</v>
      </c>
      <c r="K212" s="13" t="s">
        <v>26</v>
      </c>
      <c r="L212" s="13">
        <v>170350</v>
      </c>
      <c r="M212" s="13" t="s">
        <v>778</v>
      </c>
      <c r="O212" s="13">
        <v>1</v>
      </c>
      <c r="P212" s="13" t="s">
        <v>1212</v>
      </c>
      <c r="Q212" s="13" t="s">
        <v>1213</v>
      </c>
    </row>
    <row r="213" spans="1:17" s="13" customFormat="1" x14ac:dyDescent="0.25">
      <c r="A213" s="13">
        <v>8003879954</v>
      </c>
      <c r="B213" s="13">
        <v>2</v>
      </c>
      <c r="C213" s="13">
        <v>10102017</v>
      </c>
      <c r="D213" s="13">
        <v>299</v>
      </c>
      <c r="E213" s="13" t="s">
        <v>30</v>
      </c>
      <c r="F213" s="13">
        <v>9938</v>
      </c>
      <c r="G213" s="13" t="s">
        <v>1211</v>
      </c>
      <c r="H213" s="14">
        <v>0.01</v>
      </c>
      <c r="I213" s="13" t="s">
        <v>28</v>
      </c>
      <c r="J213" s="14">
        <v>215099.01</v>
      </c>
      <c r="K213" s="13" t="s">
        <v>26</v>
      </c>
      <c r="L213" s="13">
        <v>170350</v>
      </c>
      <c r="M213" s="13" t="s">
        <v>1214</v>
      </c>
      <c r="O213" s="13">
        <v>1</v>
      </c>
    </row>
    <row r="214" spans="1:17" s="13" customFormat="1" x14ac:dyDescent="0.25">
      <c r="A214" s="13">
        <v>8003879954</v>
      </c>
      <c r="B214" s="13">
        <v>1</v>
      </c>
      <c r="C214" s="13">
        <v>10102017</v>
      </c>
      <c r="D214" s="13">
        <v>489</v>
      </c>
      <c r="E214" s="13" t="s">
        <v>31</v>
      </c>
      <c r="F214" s="13">
        <v>9938</v>
      </c>
      <c r="G214" s="13" t="s">
        <v>1211</v>
      </c>
      <c r="H214" s="14">
        <v>0.1</v>
      </c>
      <c r="I214" s="13" t="s">
        <v>28</v>
      </c>
      <c r="J214" s="14">
        <v>215099.02</v>
      </c>
      <c r="K214" s="13" t="s">
        <v>26</v>
      </c>
      <c r="L214" s="13">
        <v>170350</v>
      </c>
      <c r="M214" s="13" t="s">
        <v>1214</v>
      </c>
      <c r="O214" s="13">
        <v>1</v>
      </c>
    </row>
    <row r="215" spans="1:17" s="13" customFormat="1" x14ac:dyDescent="0.25">
      <c r="A215" s="13">
        <v>8003879954</v>
      </c>
      <c r="B215" s="13">
        <v>7</v>
      </c>
      <c r="C215" s="13">
        <v>9102017</v>
      </c>
      <c r="D215" s="13">
        <v>299</v>
      </c>
      <c r="E215" s="13" t="s">
        <v>30</v>
      </c>
      <c r="H215" s="14">
        <v>0.03</v>
      </c>
      <c r="I215" s="13" t="s">
        <v>28</v>
      </c>
      <c r="J215" s="14">
        <v>215099.12</v>
      </c>
      <c r="K215" s="13" t="s">
        <v>26</v>
      </c>
      <c r="L215" s="13">
        <v>10001</v>
      </c>
      <c r="M215" s="13" t="s">
        <v>53</v>
      </c>
      <c r="O215" s="13">
        <v>1</v>
      </c>
    </row>
    <row r="216" spans="1:17" s="13" customFormat="1" x14ac:dyDescent="0.25">
      <c r="A216" s="13">
        <v>8003879954</v>
      </c>
      <c r="B216" s="13">
        <v>6</v>
      </c>
      <c r="C216" s="13">
        <v>9102017</v>
      </c>
      <c r="D216" s="13">
        <v>819</v>
      </c>
      <c r="E216" s="13" t="s">
        <v>32</v>
      </c>
      <c r="H216" s="14">
        <v>0.5</v>
      </c>
      <c r="I216" s="13" t="s">
        <v>28</v>
      </c>
      <c r="J216" s="14">
        <v>215099.15</v>
      </c>
      <c r="K216" s="13" t="s">
        <v>26</v>
      </c>
      <c r="L216" s="13">
        <v>10001</v>
      </c>
      <c r="M216" s="13" t="s">
        <v>53</v>
      </c>
      <c r="O216" s="13">
        <v>1</v>
      </c>
    </row>
    <row r="217" spans="1:17" s="13" customFormat="1" x14ac:dyDescent="0.25">
      <c r="A217" s="13">
        <v>8003879954</v>
      </c>
      <c r="B217" s="13">
        <v>5</v>
      </c>
      <c r="C217" s="13">
        <v>9102017</v>
      </c>
      <c r="D217" s="13">
        <v>299</v>
      </c>
      <c r="E217" s="13" t="s">
        <v>30</v>
      </c>
      <c r="H217" s="14">
        <v>0.06</v>
      </c>
      <c r="I217" s="13" t="s">
        <v>28</v>
      </c>
      <c r="J217" s="14">
        <v>215099.65</v>
      </c>
      <c r="K217" s="13" t="s">
        <v>26</v>
      </c>
      <c r="L217" s="13">
        <v>10001</v>
      </c>
      <c r="M217" s="13" t="s">
        <v>53</v>
      </c>
      <c r="O217" s="13">
        <v>1</v>
      </c>
    </row>
    <row r="218" spans="1:17" s="13" customFormat="1" x14ac:dyDescent="0.25">
      <c r="A218" s="13">
        <v>8003879954</v>
      </c>
      <c r="B218" s="13">
        <v>4</v>
      </c>
      <c r="C218" s="13">
        <v>9102017</v>
      </c>
      <c r="D218" s="13">
        <v>819</v>
      </c>
      <c r="E218" s="13" t="s">
        <v>32</v>
      </c>
      <c r="H218" s="14">
        <v>1</v>
      </c>
      <c r="I218" s="13" t="s">
        <v>28</v>
      </c>
      <c r="J218" s="14">
        <v>215099.71</v>
      </c>
      <c r="K218" s="13" t="s">
        <v>26</v>
      </c>
      <c r="L218" s="13">
        <v>10001</v>
      </c>
      <c r="M218" s="13" t="s">
        <v>53</v>
      </c>
      <c r="O218" s="13">
        <v>1</v>
      </c>
    </row>
    <row r="219" spans="1:17" s="13" customFormat="1" x14ac:dyDescent="0.25">
      <c r="A219" s="13">
        <v>8003879954</v>
      </c>
      <c r="B219" s="13">
        <v>3</v>
      </c>
      <c r="C219" s="13">
        <v>9102017</v>
      </c>
      <c r="D219" s="13">
        <v>323</v>
      </c>
      <c r="E219" s="13" t="s">
        <v>33</v>
      </c>
      <c r="F219" s="13">
        <v>0</v>
      </c>
      <c r="G219" s="13" t="s">
        <v>1215</v>
      </c>
      <c r="H219" s="14">
        <v>10667.84</v>
      </c>
      <c r="I219" s="13" t="s">
        <v>28</v>
      </c>
      <c r="J219" s="14">
        <v>215100.71</v>
      </c>
      <c r="K219" s="13" t="s">
        <v>26</v>
      </c>
      <c r="L219" s="13">
        <v>5853</v>
      </c>
      <c r="M219" s="13" t="s">
        <v>53</v>
      </c>
      <c r="O219" s="13">
        <v>1</v>
      </c>
    </row>
    <row r="220" spans="1:17" s="13" customFormat="1" x14ac:dyDescent="0.25">
      <c r="A220" s="13">
        <v>8003879954</v>
      </c>
      <c r="B220" s="13">
        <v>2</v>
      </c>
      <c r="C220" s="13">
        <v>9102017</v>
      </c>
      <c r="D220" s="13">
        <v>321</v>
      </c>
      <c r="E220" s="13" t="s">
        <v>37</v>
      </c>
      <c r="F220" s="13">
        <v>0</v>
      </c>
      <c r="G220" s="13" t="s">
        <v>1216</v>
      </c>
      <c r="H220" s="14">
        <v>16625.2</v>
      </c>
      <c r="I220" s="13" t="s">
        <v>28</v>
      </c>
      <c r="J220" s="14">
        <v>225768.55</v>
      </c>
      <c r="K220" s="13" t="s">
        <v>26</v>
      </c>
      <c r="L220" s="13">
        <v>5853</v>
      </c>
      <c r="M220" s="13" t="s">
        <v>53</v>
      </c>
      <c r="O220" s="13">
        <v>1</v>
      </c>
    </row>
    <row r="221" spans="1:17" s="13" customFormat="1" x14ac:dyDescent="0.25">
      <c r="A221" s="13">
        <v>8003879954</v>
      </c>
      <c r="B221" s="13">
        <v>1</v>
      </c>
      <c r="C221" s="13">
        <v>9102017</v>
      </c>
      <c r="D221" s="13">
        <v>323</v>
      </c>
      <c r="E221" s="13" t="s">
        <v>33</v>
      </c>
      <c r="F221" s="13">
        <v>0</v>
      </c>
      <c r="G221" s="13" t="s">
        <v>1217</v>
      </c>
      <c r="H221" s="14">
        <v>19753</v>
      </c>
      <c r="I221" s="13" t="s">
        <v>28</v>
      </c>
      <c r="J221" s="14">
        <v>242393.75</v>
      </c>
      <c r="K221" s="13" t="s">
        <v>26</v>
      </c>
      <c r="L221" s="13">
        <v>5853</v>
      </c>
      <c r="M221" s="13" t="s">
        <v>53</v>
      </c>
      <c r="O221" s="13">
        <v>1</v>
      </c>
    </row>
    <row r="222" spans="1:17" s="13" customFormat="1" x14ac:dyDescent="0.25">
      <c r="A222" s="13">
        <v>8003879954</v>
      </c>
      <c r="B222" s="13">
        <v>7</v>
      </c>
      <c r="C222" s="13">
        <v>6102017</v>
      </c>
      <c r="D222" s="13">
        <v>299</v>
      </c>
      <c r="E222" s="13" t="s">
        <v>30</v>
      </c>
      <c r="H222" s="14">
        <v>0.03</v>
      </c>
      <c r="I222" s="13" t="s">
        <v>28</v>
      </c>
      <c r="J222" s="14">
        <v>262146.75</v>
      </c>
      <c r="K222" s="13" t="s">
        <v>26</v>
      </c>
      <c r="L222" s="13">
        <v>5615</v>
      </c>
      <c r="M222" s="13" t="s">
        <v>53</v>
      </c>
      <c r="O222" s="13">
        <v>1</v>
      </c>
    </row>
    <row r="223" spans="1:17" s="13" customFormat="1" x14ac:dyDescent="0.25">
      <c r="A223" s="13">
        <v>8003879954</v>
      </c>
      <c r="B223" s="13">
        <v>6</v>
      </c>
      <c r="C223" s="13">
        <v>6102017</v>
      </c>
      <c r="D223" s="13">
        <v>819</v>
      </c>
      <c r="E223" s="13" t="s">
        <v>32</v>
      </c>
      <c r="H223" s="14">
        <v>0.5</v>
      </c>
      <c r="I223" s="13" t="s">
        <v>28</v>
      </c>
      <c r="J223" s="14">
        <v>262146.78000000003</v>
      </c>
      <c r="K223" s="13" t="s">
        <v>26</v>
      </c>
      <c r="L223" s="13">
        <v>5615</v>
      </c>
      <c r="M223" s="13" t="s">
        <v>53</v>
      </c>
      <c r="O223" s="13">
        <v>1</v>
      </c>
    </row>
    <row r="224" spans="1:17" s="13" customFormat="1" x14ac:dyDescent="0.25">
      <c r="A224" s="13">
        <v>8003879954</v>
      </c>
      <c r="B224" s="13">
        <v>5</v>
      </c>
      <c r="C224" s="13">
        <v>6102017</v>
      </c>
      <c r="D224" s="13">
        <v>299</v>
      </c>
      <c r="E224" s="13" t="s">
        <v>30</v>
      </c>
      <c r="H224" s="14">
        <v>0.06</v>
      </c>
      <c r="I224" s="13" t="s">
        <v>28</v>
      </c>
      <c r="J224" s="14">
        <v>262147.28000000003</v>
      </c>
      <c r="K224" s="13" t="s">
        <v>26</v>
      </c>
      <c r="L224" s="13">
        <v>5615</v>
      </c>
      <c r="M224" s="13" t="s">
        <v>53</v>
      </c>
      <c r="O224" s="13">
        <v>1</v>
      </c>
    </row>
    <row r="225" spans="1:18" s="13" customFormat="1" x14ac:dyDescent="0.25">
      <c r="A225" s="13">
        <v>8003879954</v>
      </c>
      <c r="B225" s="13">
        <v>4</v>
      </c>
      <c r="C225" s="13">
        <v>6102017</v>
      </c>
      <c r="D225" s="13">
        <v>819</v>
      </c>
      <c r="E225" s="13" t="s">
        <v>32</v>
      </c>
      <c r="H225" s="14">
        <v>1</v>
      </c>
      <c r="I225" s="13" t="s">
        <v>28</v>
      </c>
      <c r="J225" s="14">
        <v>262147.34000000003</v>
      </c>
      <c r="K225" s="13" t="s">
        <v>26</v>
      </c>
      <c r="L225" s="13">
        <v>5615</v>
      </c>
      <c r="M225" s="13" t="s">
        <v>53</v>
      </c>
      <c r="O225" s="13">
        <v>1</v>
      </c>
    </row>
    <row r="226" spans="1:18" s="13" customFormat="1" x14ac:dyDescent="0.25">
      <c r="A226" s="13">
        <v>8003879954</v>
      </c>
      <c r="B226" s="13">
        <v>3</v>
      </c>
      <c r="C226" s="13">
        <v>6102017</v>
      </c>
      <c r="D226" s="13">
        <v>323</v>
      </c>
      <c r="E226" s="13" t="s">
        <v>33</v>
      </c>
      <c r="F226" s="13">
        <v>0</v>
      </c>
      <c r="G226" s="13" t="s">
        <v>1218</v>
      </c>
      <c r="H226" s="14">
        <v>133560</v>
      </c>
      <c r="I226" s="13" t="s">
        <v>28</v>
      </c>
      <c r="J226" s="14">
        <v>262148.34000000003</v>
      </c>
      <c r="K226" s="13" t="s">
        <v>26</v>
      </c>
      <c r="L226" s="13">
        <v>5423</v>
      </c>
      <c r="M226" s="13" t="s">
        <v>53</v>
      </c>
      <c r="O226" s="13">
        <v>1</v>
      </c>
    </row>
    <row r="227" spans="1:18" s="13" customFormat="1" x14ac:dyDescent="0.25">
      <c r="A227" s="13">
        <v>8003879954</v>
      </c>
      <c r="B227" s="13">
        <v>2</v>
      </c>
      <c r="C227" s="13">
        <v>6102017</v>
      </c>
      <c r="D227" s="13">
        <v>323</v>
      </c>
      <c r="E227" s="13" t="s">
        <v>33</v>
      </c>
      <c r="F227" s="13">
        <v>0</v>
      </c>
      <c r="G227" s="13" t="s">
        <v>1219</v>
      </c>
      <c r="H227" s="14">
        <v>111194.92</v>
      </c>
      <c r="I227" s="13" t="s">
        <v>28</v>
      </c>
      <c r="J227" s="14">
        <v>395708.34</v>
      </c>
      <c r="K227" s="13" t="s">
        <v>26</v>
      </c>
      <c r="L227" s="13">
        <v>5423</v>
      </c>
      <c r="M227" s="13" t="s">
        <v>53</v>
      </c>
      <c r="O227" s="13">
        <v>1</v>
      </c>
    </row>
    <row r="228" spans="1:18" s="13" customFormat="1" x14ac:dyDescent="0.25">
      <c r="A228" s="13">
        <v>8003879954</v>
      </c>
      <c r="B228" s="13">
        <v>1</v>
      </c>
      <c r="C228" s="13">
        <v>6102017</v>
      </c>
      <c r="D228" s="13">
        <v>321</v>
      </c>
      <c r="E228" s="13" t="s">
        <v>37</v>
      </c>
      <c r="F228" s="13">
        <v>0</v>
      </c>
      <c r="G228" s="13" t="s">
        <v>1220</v>
      </c>
      <c r="H228" s="14">
        <v>7857.3</v>
      </c>
      <c r="I228" s="13" t="s">
        <v>28</v>
      </c>
      <c r="J228" s="14">
        <v>506903.26</v>
      </c>
      <c r="K228" s="13" t="s">
        <v>26</v>
      </c>
      <c r="L228" s="13">
        <v>5423</v>
      </c>
      <c r="M228" s="13" t="s">
        <v>53</v>
      </c>
      <c r="O228" s="13">
        <v>1</v>
      </c>
    </row>
    <row r="229" spans="1:18" s="13" customFormat="1" x14ac:dyDescent="0.25">
      <c r="A229" s="13">
        <v>8003879954</v>
      </c>
      <c r="B229" s="13">
        <v>9</v>
      </c>
      <c r="C229" s="13">
        <v>5102017</v>
      </c>
      <c r="D229" s="13">
        <v>299</v>
      </c>
      <c r="E229" s="13" t="str">
        <f>"GST"</f>
        <v>GST</v>
      </c>
      <c r="H229" s="14">
        <v>0.06</v>
      </c>
      <c r="I229" s="13" t="s">
        <v>28</v>
      </c>
      <c r="J229" s="14">
        <v>514760.56</v>
      </c>
      <c r="K229" s="13" t="s">
        <v>26</v>
      </c>
      <c r="L229" s="13">
        <v>5700</v>
      </c>
      <c r="M229" s="13" t="str">
        <f>""</f>
        <v/>
      </c>
      <c r="O229" s="13">
        <v>1</v>
      </c>
    </row>
    <row r="230" spans="1:18" s="13" customFormat="1" x14ac:dyDescent="0.25">
      <c r="A230" s="13">
        <v>8003879954</v>
      </c>
      <c r="B230" s="13">
        <v>8</v>
      </c>
      <c r="C230" s="13">
        <v>5102017</v>
      </c>
      <c r="D230" s="13">
        <v>819</v>
      </c>
      <c r="E230" s="13" t="str">
        <f>"CHQ PROCESSING FEE"</f>
        <v>CHQ PROCESSING FEE</v>
      </c>
      <c r="H230" s="14">
        <v>1</v>
      </c>
      <c r="I230" s="13" t="s">
        <v>28</v>
      </c>
      <c r="J230" s="14">
        <v>514760.62</v>
      </c>
      <c r="K230" s="13" t="s">
        <v>26</v>
      </c>
      <c r="L230" s="13">
        <v>5700</v>
      </c>
      <c r="M230" s="13" t="str">
        <f>""</f>
        <v/>
      </c>
      <c r="O230" s="13">
        <v>1</v>
      </c>
    </row>
    <row r="231" spans="1:18" s="13" customFormat="1" x14ac:dyDescent="0.25">
      <c r="A231" s="13">
        <v>8003879954</v>
      </c>
      <c r="B231" s="13">
        <v>7</v>
      </c>
      <c r="C231" s="13">
        <v>5102017</v>
      </c>
      <c r="D231" s="13">
        <v>321</v>
      </c>
      <c r="E231" s="13" t="str">
        <f>"HOUSE CHQ DR"</f>
        <v>HOUSE CHQ DR</v>
      </c>
      <c r="F231" s="13">
        <v>0</v>
      </c>
      <c r="G231" s="13" t="str">
        <f>"00688043"</f>
        <v>00688043</v>
      </c>
      <c r="H231" s="14">
        <v>500.85</v>
      </c>
      <c r="I231" s="13" t="s">
        <v>28</v>
      </c>
      <c r="J231" s="14">
        <v>514761.62</v>
      </c>
      <c r="K231" s="13" t="s">
        <v>26</v>
      </c>
      <c r="L231" s="13">
        <v>5537</v>
      </c>
      <c r="M231" s="13" t="str">
        <f>""</f>
        <v/>
      </c>
      <c r="O231" s="13">
        <v>1</v>
      </c>
    </row>
    <row r="232" spans="1:18" s="13" customFormat="1" x14ac:dyDescent="0.25">
      <c r="A232" s="13">
        <v>8003879954</v>
      </c>
      <c r="B232" s="13">
        <v>6</v>
      </c>
      <c r="C232" s="13">
        <v>5102017</v>
      </c>
      <c r="D232" s="13">
        <v>321</v>
      </c>
      <c r="E232" s="13" t="str">
        <f>"HOUSE CHQ DR"</f>
        <v>HOUSE CHQ DR</v>
      </c>
      <c r="F232" s="13">
        <v>0</v>
      </c>
      <c r="G232" s="13" t="str">
        <f>"00688042"</f>
        <v>00688042</v>
      </c>
      <c r="H232" s="14">
        <v>890.8</v>
      </c>
      <c r="I232" s="13" t="s">
        <v>28</v>
      </c>
      <c r="J232" s="14">
        <v>515262.47</v>
      </c>
      <c r="K232" s="13" t="s">
        <v>26</v>
      </c>
      <c r="L232" s="13">
        <v>5537</v>
      </c>
      <c r="M232" s="13" t="str">
        <f>""</f>
        <v/>
      </c>
      <c r="O232" s="13">
        <v>1</v>
      </c>
    </row>
    <row r="233" spans="1:18" s="13" customFormat="1" x14ac:dyDescent="0.25">
      <c r="A233" s="13">
        <v>8003879954</v>
      </c>
      <c r="B233" s="13">
        <v>5</v>
      </c>
      <c r="C233" s="13">
        <v>5102017</v>
      </c>
      <c r="D233" s="13">
        <v>299</v>
      </c>
      <c r="E233" s="13" t="s">
        <v>44</v>
      </c>
      <c r="F233" s="13">
        <v>72</v>
      </c>
      <c r="G233" s="13" t="str">
        <f>"282657998"</f>
        <v>282657998</v>
      </c>
      <c r="H233" s="14">
        <v>0.6</v>
      </c>
      <c r="I233" s="13" t="s">
        <v>28</v>
      </c>
      <c r="J233" s="14">
        <v>516153.27</v>
      </c>
      <c r="K233" s="13" t="s">
        <v>26</v>
      </c>
      <c r="L233" s="13">
        <v>181904</v>
      </c>
      <c r="M233" s="13" t="str">
        <f>"00722051017T5425                       A"</f>
        <v>00722051017T5425                       A</v>
      </c>
      <c r="O233" s="13">
        <v>1</v>
      </c>
    </row>
    <row r="234" spans="1:18" s="13" customFormat="1" x14ac:dyDescent="0.25">
      <c r="A234" s="13">
        <v>8003879954</v>
      </c>
      <c r="B234" s="13">
        <v>4</v>
      </c>
      <c r="C234" s="13">
        <v>5102017</v>
      </c>
      <c r="D234" s="13">
        <v>415</v>
      </c>
      <c r="E234" s="13" t="s">
        <v>146</v>
      </c>
      <c r="F234" s="13">
        <v>72</v>
      </c>
      <c r="G234" s="13" t="str">
        <f>"282657998"</f>
        <v>282657998</v>
      </c>
      <c r="H234" s="14">
        <v>10</v>
      </c>
      <c r="I234" s="13" t="s">
        <v>28</v>
      </c>
      <c r="J234" s="14">
        <v>516153.87</v>
      </c>
      <c r="K234" s="13" t="s">
        <v>26</v>
      </c>
      <c r="L234" s="13">
        <v>181904</v>
      </c>
      <c r="M234" s="13" t="str">
        <f>"00722051017T5425                       A"</f>
        <v>00722051017T5425                       A</v>
      </c>
      <c r="O234" s="13">
        <v>1</v>
      </c>
    </row>
    <row r="235" spans="1:18" s="13" customFormat="1" x14ac:dyDescent="0.25">
      <c r="A235" s="13">
        <v>8003879954</v>
      </c>
      <c r="B235" s="13">
        <v>3</v>
      </c>
      <c r="C235" s="13">
        <v>5102017</v>
      </c>
      <c r="D235" s="13">
        <v>349</v>
      </c>
      <c r="E235" s="13" t="str">
        <f>"TR TO REMITT"</f>
        <v>TR TO REMITT</v>
      </c>
      <c r="F235" s="13">
        <v>72</v>
      </c>
      <c r="G235" s="13" t="str">
        <f>"282657998"</f>
        <v>282657998</v>
      </c>
      <c r="H235" s="14">
        <v>61184.36</v>
      </c>
      <c r="I235" s="13" t="s">
        <v>28</v>
      </c>
      <c r="J235" s="14">
        <v>516163.87</v>
      </c>
      <c r="K235" s="13" t="s">
        <v>26</v>
      </c>
      <c r="L235" s="13">
        <v>181904</v>
      </c>
      <c r="M235" s="13" t="str">
        <f>"00722051017T5425                       A"</f>
        <v>00722051017T5425                       A</v>
      </c>
      <c r="O235" s="13">
        <v>1</v>
      </c>
    </row>
    <row r="236" spans="1:18" s="13" customFormat="1" x14ac:dyDescent="0.25">
      <c r="A236" s="13">
        <v>8003879954</v>
      </c>
      <c r="B236" s="13">
        <v>2</v>
      </c>
      <c r="C236" s="13">
        <v>5102017</v>
      </c>
      <c r="D236" s="13">
        <v>349</v>
      </c>
      <c r="E236" s="13" t="str">
        <f>"TR TO REMITT"</f>
        <v>TR TO REMITT</v>
      </c>
      <c r="F236" s="13">
        <v>72</v>
      </c>
      <c r="G236" s="13" t="str">
        <f>"282657494"</f>
        <v>282657494</v>
      </c>
      <c r="H236" s="14">
        <v>69251.759999999995</v>
      </c>
      <c r="I236" s="13" t="s">
        <v>28</v>
      </c>
      <c r="J236" s="14">
        <v>577348.23</v>
      </c>
      <c r="K236" s="13" t="s">
        <v>26</v>
      </c>
      <c r="L236" s="13">
        <v>180901</v>
      </c>
      <c r="M236" s="13" t="str">
        <f>"00722051017T5333   /CHINAPAY/          N"</f>
        <v>00722051017T5333   /CHINAPAY/          N</v>
      </c>
      <c r="O236" s="13">
        <v>1</v>
      </c>
    </row>
    <row r="237" spans="1:18" s="13" customFormat="1" x14ac:dyDescent="0.25">
      <c r="A237" s="13">
        <v>8003879954</v>
      </c>
      <c r="B237" s="13">
        <v>1</v>
      </c>
      <c r="C237" s="13">
        <v>5102017</v>
      </c>
      <c r="D237" s="13">
        <v>5</v>
      </c>
      <c r="E237" s="13" t="str">
        <f>"REMITTANCE CR"</f>
        <v>REMITTANCE CR</v>
      </c>
      <c r="H237" s="14">
        <v>115680</v>
      </c>
      <c r="I237" s="13" t="s">
        <v>26</v>
      </c>
      <c r="J237" s="14">
        <v>646599.99</v>
      </c>
      <c r="K237" s="13" t="s">
        <v>26</v>
      </c>
      <c r="L237" s="13">
        <v>91152</v>
      </c>
      <c r="M237" s="13" t="str">
        <f>"/ROC/BYRN BG PGRM M BENDAHARI NEGERI PUL"</f>
        <v>/ROC/BYRN BG PGRM M BENDAHARI NEGERI PUL</v>
      </c>
      <c r="O237" s="13">
        <v>1</v>
      </c>
      <c r="P237" s="13" t="str">
        <f>"BYRN BG PGRM MESYUAR"</f>
        <v>BYRN BG PGRM MESYUAR</v>
      </c>
      <c r="Q237" s="13" t="str">
        <f>"R"</f>
        <v>R</v>
      </c>
      <c r="R237" s="13" t="str">
        <f>"BENDAHARI NEGERI PUL"</f>
        <v>BENDAHARI NEGERI PUL</v>
      </c>
    </row>
    <row r="238" spans="1:18" s="13" customFormat="1" x14ac:dyDescent="0.25">
      <c r="A238" s="13">
        <v>8003879954</v>
      </c>
      <c r="B238" s="13">
        <v>5</v>
      </c>
      <c r="C238" s="13">
        <v>4102017</v>
      </c>
      <c r="D238" s="13">
        <v>5</v>
      </c>
      <c r="E238" s="13" t="str">
        <f>"REMITTANCE CR"</f>
        <v>REMITTANCE CR</v>
      </c>
      <c r="H238" s="14">
        <v>120000</v>
      </c>
      <c r="I238" s="13" t="s">
        <v>26</v>
      </c>
      <c r="J238" s="14">
        <v>530919.99</v>
      </c>
      <c r="K238" s="13" t="s">
        <v>26</v>
      </c>
      <c r="L238" s="13">
        <v>153051</v>
      </c>
      <c r="M238" s="13" t="str">
        <f>"/ROC/KLMP0022094RES RHB ASSET MANAGEMENT"</f>
        <v>/ROC/KLMP0022094RES RHB ASSET MANAGEMENT</v>
      </c>
      <c r="O238" s="13">
        <v>1</v>
      </c>
      <c r="P238" s="13" t="str">
        <f>"KLMP0022094"</f>
        <v>KLMP0022094</v>
      </c>
      <c r="Q238" s="13" t="str">
        <f>"RESIDENT"</f>
        <v>RESIDENT</v>
      </c>
      <c r="R238" s="13" t="str">
        <f>"RHB ASSET MANAGEMENT"</f>
        <v>RHB ASSET MANAGEMENT</v>
      </c>
    </row>
    <row r="239" spans="1:18" s="13" customFormat="1" x14ac:dyDescent="0.25">
      <c r="A239" s="13">
        <v>8003879954</v>
      </c>
      <c r="B239" s="13">
        <v>4</v>
      </c>
      <c r="C239" s="13">
        <v>4102017</v>
      </c>
      <c r="D239" s="13">
        <v>341</v>
      </c>
      <c r="E239" s="13" t="str">
        <f>"TR IBG"</f>
        <v>TR IBG</v>
      </c>
      <c r="F239" s="13">
        <v>9938</v>
      </c>
      <c r="G239" s="13" t="str">
        <f>"21488314"</f>
        <v>21488314</v>
      </c>
      <c r="H239" s="14">
        <v>2500</v>
      </c>
      <c r="I239" s="13" t="s">
        <v>28</v>
      </c>
      <c r="J239" s="14">
        <v>410919.99</v>
      </c>
      <c r="K239" s="13" t="s">
        <v>26</v>
      </c>
      <c r="L239" s="13">
        <v>145522</v>
      </c>
      <c r="M239" s="13" t="str">
        <f>"OON KOK EU"</f>
        <v>OON KOK EU</v>
      </c>
      <c r="O239" s="13">
        <v>1</v>
      </c>
      <c r="P239" s="13" t="str">
        <f>"PGTEFT2638"</f>
        <v>PGTEFT2638</v>
      </c>
      <c r="Q239" s="13" t="str">
        <f>"BROCHURE DISTRIBUTIO"</f>
        <v>BROCHURE DISTRIBUTIO</v>
      </c>
    </row>
    <row r="240" spans="1:18" s="13" customFormat="1" x14ac:dyDescent="0.25">
      <c r="A240" s="13">
        <v>8003879954</v>
      </c>
      <c r="B240" s="13">
        <v>3</v>
      </c>
      <c r="C240" s="13">
        <v>4102017</v>
      </c>
      <c r="D240" s="13">
        <v>299</v>
      </c>
      <c r="E240" s="13" t="str">
        <f>"GST"</f>
        <v>GST</v>
      </c>
      <c r="F240" s="13">
        <v>9938</v>
      </c>
      <c r="G240" s="13" t="str">
        <f>"21488314"</f>
        <v>21488314</v>
      </c>
      <c r="H240" s="14">
        <v>0.01</v>
      </c>
      <c r="I240" s="13" t="s">
        <v>28</v>
      </c>
      <c r="J240" s="14">
        <v>413419.99</v>
      </c>
      <c r="K240" s="13" t="s">
        <v>26</v>
      </c>
      <c r="L240" s="13">
        <v>145522</v>
      </c>
      <c r="M240" s="13" t="str">
        <f>"PGTEFT2638          BROCHURE DISTRIBUTIO"</f>
        <v>PGTEFT2638          BROCHURE DISTRIBUTIO</v>
      </c>
      <c r="O240" s="13">
        <v>1</v>
      </c>
    </row>
    <row r="241" spans="1:18" s="13" customFormat="1" x14ac:dyDescent="0.25">
      <c r="A241" s="13">
        <v>8003879954</v>
      </c>
      <c r="B241" s="13">
        <v>2</v>
      </c>
      <c r="C241" s="13">
        <v>4102017</v>
      </c>
      <c r="D241" s="13">
        <v>489</v>
      </c>
      <c r="E241" s="13" t="str">
        <f>"OTHER TRANSFER FEE"</f>
        <v>OTHER TRANSFER FEE</v>
      </c>
      <c r="F241" s="13">
        <v>9938</v>
      </c>
      <c r="G241" s="13" t="str">
        <f>"21488314"</f>
        <v>21488314</v>
      </c>
      <c r="H241" s="14">
        <v>0.1</v>
      </c>
      <c r="I241" s="13" t="s">
        <v>28</v>
      </c>
      <c r="J241" s="14">
        <v>413420</v>
      </c>
      <c r="K241" s="13" t="s">
        <v>26</v>
      </c>
      <c r="L241" s="13">
        <v>145522</v>
      </c>
      <c r="M241" s="13" t="str">
        <f>"PGTEFT2638          BROCHURE DISTRIBUTIO"</f>
        <v>PGTEFT2638          BROCHURE DISTRIBUTIO</v>
      </c>
      <c r="O241" s="13">
        <v>1</v>
      </c>
    </row>
    <row r="242" spans="1:18" s="13" customFormat="1" x14ac:dyDescent="0.25">
      <c r="A242" s="13">
        <v>8003879954</v>
      </c>
      <c r="B242" s="13">
        <v>1</v>
      </c>
      <c r="C242" s="13">
        <v>4102017</v>
      </c>
      <c r="D242" s="13">
        <v>60</v>
      </c>
      <c r="E242" s="13" t="str">
        <f>"TR TO C/A"</f>
        <v>TR TO C/A</v>
      </c>
      <c r="F242" s="13">
        <v>9938</v>
      </c>
      <c r="G242" s="13" t="str">
        <f>"21488528"</f>
        <v>21488528</v>
      </c>
      <c r="H242" s="14">
        <v>306</v>
      </c>
      <c r="I242" s="13" t="s">
        <v>28</v>
      </c>
      <c r="J242" s="14">
        <v>413420.1</v>
      </c>
      <c r="K242" s="13" t="s">
        <v>26</v>
      </c>
      <c r="L242" s="13">
        <v>145521</v>
      </c>
      <c r="M242" s="13" t="str">
        <f>"NO ANSURAN9 AKAUN KJAAN MSIA PU"</f>
        <v>NO ANSURAN9 AKAUN KJAAN MSIA PU</v>
      </c>
      <c r="O242" s="13">
        <v>1</v>
      </c>
      <c r="P242" s="13" t="str">
        <f>"PGTEFT2637"</f>
        <v>PGTEFT2637</v>
      </c>
      <c r="Q242" s="13" t="str">
        <f>"C285195105"</f>
        <v>C285195105</v>
      </c>
    </row>
    <row r="243" spans="1:18" s="13" customFormat="1" x14ac:dyDescent="0.25">
      <c r="A243" s="13">
        <v>8003879954</v>
      </c>
      <c r="B243" s="13">
        <v>3</v>
      </c>
      <c r="C243" s="13">
        <v>3102017</v>
      </c>
      <c r="D243" s="13">
        <v>299</v>
      </c>
      <c r="E243" s="13" t="str">
        <f>"GST"</f>
        <v>GST</v>
      </c>
      <c r="H243" s="14">
        <v>0.03</v>
      </c>
      <c r="I243" s="13" t="s">
        <v>28</v>
      </c>
      <c r="J243" s="14">
        <v>413726.1</v>
      </c>
      <c r="K243" s="13" t="s">
        <v>26</v>
      </c>
      <c r="L243" s="13">
        <v>15504</v>
      </c>
      <c r="M243" s="13" t="str">
        <f>""</f>
        <v/>
      </c>
      <c r="O243" s="13">
        <v>1</v>
      </c>
    </row>
    <row r="244" spans="1:18" s="13" customFormat="1" x14ac:dyDescent="0.25">
      <c r="A244" s="13">
        <v>8003879954</v>
      </c>
      <c r="B244" s="13">
        <v>2</v>
      </c>
      <c r="C244" s="13">
        <v>3102017</v>
      </c>
      <c r="D244" s="13">
        <v>819</v>
      </c>
      <c r="E244" s="13" t="str">
        <f>"CHQ PROCESSING FEE"</f>
        <v>CHQ PROCESSING FEE</v>
      </c>
      <c r="H244" s="14">
        <v>0.5</v>
      </c>
      <c r="I244" s="13" t="s">
        <v>28</v>
      </c>
      <c r="J244" s="14">
        <v>413726.13</v>
      </c>
      <c r="K244" s="13" t="s">
        <v>26</v>
      </c>
      <c r="L244" s="13">
        <v>15504</v>
      </c>
      <c r="M244" s="13" t="str">
        <f>""</f>
        <v/>
      </c>
      <c r="O244" s="13">
        <v>1</v>
      </c>
    </row>
    <row r="245" spans="1:18" s="13" customFormat="1" x14ac:dyDescent="0.25">
      <c r="A245" s="13">
        <v>8003879954</v>
      </c>
      <c r="B245" s="13">
        <v>1</v>
      </c>
      <c r="C245" s="13">
        <v>3102017</v>
      </c>
      <c r="D245" s="13">
        <v>323</v>
      </c>
      <c r="E245" s="13" t="str">
        <f>"CLRG CHQ DR"</f>
        <v>CLRG CHQ DR</v>
      </c>
      <c r="F245" s="13">
        <v>0</v>
      </c>
      <c r="G245" s="13" t="str">
        <f>"00688033"</f>
        <v>00688033</v>
      </c>
      <c r="H245" s="14">
        <v>780000</v>
      </c>
      <c r="I245" s="13" t="s">
        <v>28</v>
      </c>
      <c r="J245" s="14">
        <v>413726.63</v>
      </c>
      <c r="K245" s="13" t="s">
        <v>26</v>
      </c>
      <c r="L245" s="13">
        <v>15327</v>
      </c>
      <c r="M245" s="13" t="str">
        <f>""</f>
        <v/>
      </c>
      <c r="O245" s="13">
        <v>1</v>
      </c>
    </row>
    <row r="246" spans="1:18" s="13" customFormat="1" x14ac:dyDescent="0.25">
      <c r="A246" s="13">
        <v>8003879954</v>
      </c>
      <c r="B246" s="13">
        <v>3</v>
      </c>
      <c r="C246" s="13">
        <v>2102017</v>
      </c>
      <c r="D246" s="13">
        <v>299</v>
      </c>
      <c r="E246" s="13" t="str">
        <f>"GST"</f>
        <v>GST</v>
      </c>
      <c r="H246" s="14">
        <v>0.03</v>
      </c>
      <c r="I246" s="13" t="s">
        <v>28</v>
      </c>
      <c r="J246" s="14">
        <v>1193726.6299999999</v>
      </c>
      <c r="K246" s="13" t="s">
        <v>26</v>
      </c>
      <c r="L246" s="13">
        <v>10143</v>
      </c>
      <c r="M246" s="13" t="str">
        <f>""</f>
        <v/>
      </c>
      <c r="O246" s="13">
        <v>1</v>
      </c>
    </row>
    <row r="247" spans="1:18" s="13" customFormat="1" x14ac:dyDescent="0.25">
      <c r="A247" s="13">
        <v>8003879954</v>
      </c>
      <c r="B247" s="13">
        <v>2</v>
      </c>
      <c r="C247" s="13">
        <v>2102017</v>
      </c>
      <c r="D247" s="13">
        <v>819</v>
      </c>
      <c r="E247" s="13" t="str">
        <f>"CHQ PROCESSING FEE"</f>
        <v>CHQ PROCESSING FEE</v>
      </c>
      <c r="H247" s="14">
        <v>0.5</v>
      </c>
      <c r="I247" s="13" t="s">
        <v>28</v>
      </c>
      <c r="J247" s="14">
        <v>1193726.6599999999</v>
      </c>
      <c r="K247" s="13" t="s">
        <v>26</v>
      </c>
      <c r="L247" s="13">
        <v>10143</v>
      </c>
      <c r="M247" s="13" t="str">
        <f>""</f>
        <v/>
      </c>
      <c r="O247" s="13">
        <v>1</v>
      </c>
    </row>
    <row r="248" spans="1:18" s="13" customFormat="1" x14ac:dyDescent="0.25">
      <c r="A248" s="13">
        <v>8003879954</v>
      </c>
      <c r="B248" s="13">
        <v>1</v>
      </c>
      <c r="C248" s="13">
        <v>2102017</v>
      </c>
      <c r="D248" s="13">
        <v>321</v>
      </c>
      <c r="E248" s="13" t="str">
        <f>"HOUSE CHQ DR"</f>
        <v>HOUSE CHQ DR</v>
      </c>
      <c r="F248" s="13">
        <v>0</v>
      </c>
      <c r="G248" s="13" t="str">
        <f>"00688030"</f>
        <v>00688030</v>
      </c>
      <c r="H248" s="14">
        <v>4447.4399999999996</v>
      </c>
      <c r="I248" s="13" t="s">
        <v>28</v>
      </c>
      <c r="J248" s="14">
        <v>1193727.1599999999</v>
      </c>
      <c r="K248" s="13" t="s">
        <v>26</v>
      </c>
      <c r="L248" s="13">
        <v>5905</v>
      </c>
      <c r="M248" s="13" t="str">
        <f>""</f>
        <v/>
      </c>
      <c r="O248" s="13">
        <v>1</v>
      </c>
    </row>
    <row r="249" spans="1:18" s="13" customFormat="1" x14ac:dyDescent="0.25">
      <c r="A249" s="13">
        <v>8003879954</v>
      </c>
      <c r="B249" s="13">
        <v>1</v>
      </c>
      <c r="C249" s="13">
        <v>1102017</v>
      </c>
      <c r="D249" s="13">
        <v>141</v>
      </c>
      <c r="E249" s="13" t="str">
        <f>"I-FUNDS TR FROM SA"</f>
        <v>I-FUNDS TR FROM SA</v>
      </c>
      <c r="F249" s="13">
        <v>4812</v>
      </c>
      <c r="G249" s="13" t="str">
        <f>"35225"</f>
        <v>35225</v>
      </c>
      <c r="H249" s="14">
        <v>1260.1500000000001</v>
      </c>
      <c r="I249" s="13" t="s">
        <v>26</v>
      </c>
      <c r="J249" s="14">
        <v>1198174.6000000001</v>
      </c>
      <c r="K249" s="13" t="s">
        <v>26</v>
      </c>
      <c r="L249" s="13">
        <v>110656</v>
      </c>
      <c r="M249" s="13" t="str">
        <f>""</f>
        <v/>
      </c>
      <c r="O249" s="13">
        <v>1</v>
      </c>
      <c r="P249" s="13" t="str">
        <f>"PIEF adv claim"</f>
        <v>PIEF adv claim</v>
      </c>
      <c r="Q249" s="13" t="str">
        <f>"Return"</f>
        <v>Return</v>
      </c>
      <c r="R249" s="13" t="str">
        <f>"NG CHUN HOW"</f>
        <v>NG CHUN HOW</v>
      </c>
    </row>
    <row r="252" spans="1:18" x14ac:dyDescent="0.25">
      <c r="H252" s="10">
        <f>SUBTOTAL(9,H10:H251)</f>
        <v>3902924.1099999989</v>
      </c>
    </row>
  </sheetData>
  <autoFilter ref="A8:M25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03"/>
  <sheetViews>
    <sheetView topLeftCell="A152" workbookViewId="0">
      <selection activeCell="H203" sqref="H203"/>
    </sheetView>
  </sheetViews>
  <sheetFormatPr defaultRowHeight="15" x14ac:dyDescent="0.25"/>
  <cols>
    <col min="1" max="1" width="11" style="9" bestFit="1" customWidth="1"/>
    <col min="2" max="4" width="9.140625" style="9"/>
    <col min="5" max="5" width="29.5703125" style="9" bestFit="1" customWidth="1"/>
    <col min="6" max="6" width="9.140625" style="9"/>
    <col min="7" max="7" width="21.5703125" style="9" customWidth="1"/>
    <col min="8" max="8" width="14" style="10" customWidth="1"/>
    <col min="9" max="9" width="9.140625" style="9"/>
    <col min="10" max="10" width="13.28515625" style="10" bestFit="1" customWidth="1"/>
    <col min="11" max="11" width="11.5703125" style="9" bestFit="1" customWidth="1"/>
    <col min="12" max="12" width="9.140625" style="9"/>
    <col min="13" max="13" width="47.7109375" style="9" bestFit="1" customWidth="1"/>
    <col min="14" max="16" width="9.140625" style="9"/>
    <col min="17" max="17" width="23.7109375" style="9" bestFit="1" customWidth="1"/>
    <col min="18" max="16384" width="9.140625" style="9"/>
  </cols>
  <sheetData>
    <row r="1" spans="1:18" s="13" customFormat="1" x14ac:dyDescent="0.25">
      <c r="A1" s="13" t="s">
        <v>0</v>
      </c>
      <c r="H1" s="14"/>
      <c r="J1" s="14"/>
    </row>
    <row r="2" spans="1:18" s="13" customFormat="1" x14ac:dyDescent="0.25">
      <c r="A2" s="13" t="s">
        <v>1</v>
      </c>
      <c r="B2" s="13" t="s">
        <v>2</v>
      </c>
      <c r="H2" s="14"/>
      <c r="J2" s="14"/>
    </row>
    <row r="3" spans="1:18" s="13" customFormat="1" x14ac:dyDescent="0.25">
      <c r="A3" s="13" t="s">
        <v>3</v>
      </c>
      <c r="H3" s="14"/>
      <c r="J3" s="14"/>
    </row>
    <row r="4" spans="1:18" s="13" customFormat="1" x14ac:dyDescent="0.25">
      <c r="A4" s="13" t="s">
        <v>1100</v>
      </c>
      <c r="H4" s="14"/>
      <c r="J4" s="14"/>
    </row>
    <row r="5" spans="1:18" s="13" customFormat="1" x14ac:dyDescent="0.25">
      <c r="A5" s="13" t="s">
        <v>1101</v>
      </c>
      <c r="H5" s="14"/>
      <c r="J5" s="14"/>
    </row>
    <row r="6" spans="1:18" s="13" customFormat="1" x14ac:dyDescent="0.25">
      <c r="A6" s="13" t="s">
        <v>1102</v>
      </c>
      <c r="H6" s="14"/>
      <c r="J6" s="14"/>
    </row>
    <row r="7" spans="1:18" s="13" customFormat="1" x14ac:dyDescent="0.25">
      <c r="H7" s="14"/>
      <c r="J7" s="14"/>
    </row>
    <row r="8" spans="1:18" s="13" customFormat="1" x14ac:dyDescent="0.25">
      <c r="A8" s="13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12</v>
      </c>
      <c r="G8" s="13" t="s">
        <v>13</v>
      </c>
      <c r="H8" s="14" t="s">
        <v>14</v>
      </c>
      <c r="I8" s="13" t="s">
        <v>15</v>
      </c>
      <c r="J8" s="14" t="s">
        <v>16</v>
      </c>
      <c r="K8" s="13" t="s">
        <v>17</v>
      </c>
      <c r="L8" s="13" t="s">
        <v>18</v>
      </c>
      <c r="M8" s="13" t="s">
        <v>19</v>
      </c>
      <c r="N8" s="13" t="s">
        <v>20</v>
      </c>
      <c r="O8" s="13" t="s">
        <v>21</v>
      </c>
      <c r="P8" s="13" t="s">
        <v>22</v>
      </c>
      <c r="Q8" s="13" t="s">
        <v>23</v>
      </c>
      <c r="R8" s="13" t="s">
        <v>24</v>
      </c>
    </row>
    <row r="9" spans="1:18" s="13" customFormat="1" hidden="1" x14ac:dyDescent="0.25">
      <c r="H9" s="14"/>
      <c r="J9" s="14"/>
    </row>
    <row r="10" spans="1:18" s="13" customFormat="1" hidden="1" x14ac:dyDescent="0.25">
      <c r="A10" s="13">
        <v>8003879954</v>
      </c>
      <c r="B10" s="13">
        <v>6</v>
      </c>
      <c r="C10" s="13">
        <v>30112017</v>
      </c>
      <c r="D10" s="13">
        <v>341</v>
      </c>
      <c r="E10" s="13" t="str">
        <f>"TR IBG"</f>
        <v>TR IBG</v>
      </c>
      <c r="F10" s="13">
        <v>9938</v>
      </c>
      <c r="G10" s="13" t="str">
        <f>"23149491"</f>
        <v>23149491</v>
      </c>
      <c r="H10" s="14">
        <v>362.09</v>
      </c>
      <c r="I10" s="13" t="s">
        <v>28</v>
      </c>
      <c r="J10" s="13">
        <v>547978.91</v>
      </c>
      <c r="K10" s="13" t="s">
        <v>26</v>
      </c>
      <c r="L10" s="13">
        <v>84913</v>
      </c>
      <c r="M10" s="13" t="str">
        <f>"AKAUN PUNGUTAN POTON"</f>
        <v>AKAUN PUNGUTAN POTON</v>
      </c>
      <c r="O10" s="13">
        <v>1</v>
      </c>
      <c r="P10" s="13" t="str">
        <f>"PGTEFT2763"</f>
        <v>PGTEFT2763</v>
      </c>
      <c r="Q10" s="13" t="str">
        <f>"PTPTN LOAN"</f>
        <v>PTPTN LOAN</v>
      </c>
    </row>
    <row r="11" spans="1:18" s="13" customFormat="1" x14ac:dyDescent="0.25">
      <c r="A11" s="13">
        <v>8003879954</v>
      </c>
      <c r="B11" s="13">
        <v>5</v>
      </c>
      <c r="C11" s="13">
        <v>30112017</v>
      </c>
      <c r="D11" s="13">
        <v>299</v>
      </c>
      <c r="E11" s="13" t="str">
        <f>"GST"</f>
        <v>GST</v>
      </c>
      <c r="F11" s="13">
        <v>9938</v>
      </c>
      <c r="G11" s="13" t="str">
        <f>"23149491"</f>
        <v>23149491</v>
      </c>
      <c r="H11" s="14">
        <v>0.01</v>
      </c>
      <c r="I11" s="13" t="s">
        <v>28</v>
      </c>
      <c r="J11" s="13">
        <v>548341</v>
      </c>
      <c r="K11" s="13" t="s">
        <v>26</v>
      </c>
      <c r="L11" s="13">
        <v>84913</v>
      </c>
      <c r="M11" s="13" t="str">
        <f>"PGTEFT2763          PTPTN LOAN"</f>
        <v>PGTEFT2763          PTPTN LOAN</v>
      </c>
      <c r="O11" s="13">
        <v>1</v>
      </c>
    </row>
    <row r="12" spans="1:18" s="13" customFormat="1" hidden="1" x14ac:dyDescent="0.25">
      <c r="A12" s="13">
        <v>8003879954</v>
      </c>
      <c r="B12" s="13">
        <v>4</v>
      </c>
      <c r="C12" s="13">
        <v>30112017</v>
      </c>
      <c r="D12" s="13">
        <v>489</v>
      </c>
      <c r="E12" s="13" t="str">
        <f>"OTHER TRANSFER FEE"</f>
        <v>OTHER TRANSFER FEE</v>
      </c>
      <c r="F12" s="13">
        <v>9938</v>
      </c>
      <c r="G12" s="13" t="str">
        <f>"23149491"</f>
        <v>23149491</v>
      </c>
      <c r="H12" s="14">
        <v>0.1</v>
      </c>
      <c r="I12" s="13" t="s">
        <v>28</v>
      </c>
      <c r="J12" s="13">
        <v>548341.01</v>
      </c>
      <c r="K12" s="13" t="s">
        <v>26</v>
      </c>
      <c r="L12" s="13">
        <v>84913</v>
      </c>
      <c r="M12" s="13" t="str">
        <f>"PGTEFT2763          PTPTN LOAN"</f>
        <v>PGTEFT2763          PTPTN LOAN</v>
      </c>
      <c r="O12" s="13">
        <v>1</v>
      </c>
    </row>
    <row r="13" spans="1:18" s="13" customFormat="1" x14ac:dyDescent="0.25">
      <c r="A13" s="13">
        <v>8003879954</v>
      </c>
      <c r="B13" s="13">
        <v>3</v>
      </c>
      <c r="C13" s="13">
        <v>30112017</v>
      </c>
      <c r="D13" s="13">
        <v>299</v>
      </c>
      <c r="E13" s="13" t="str">
        <f>"GST"</f>
        <v>GST</v>
      </c>
      <c r="F13" s="13">
        <v>3471</v>
      </c>
      <c r="G13" s="13" t="str">
        <f>"05836525"</f>
        <v>05836525</v>
      </c>
      <c r="H13" s="14">
        <v>2.16</v>
      </c>
      <c r="I13" s="13" t="s">
        <v>28</v>
      </c>
      <c r="J13" s="13">
        <v>548341.11</v>
      </c>
      <c r="K13" s="13" t="s">
        <v>26</v>
      </c>
      <c r="L13" s="13">
        <v>61723</v>
      </c>
      <c r="M13" s="13" t="str">
        <f>""</f>
        <v/>
      </c>
      <c r="O13" s="13">
        <v>1</v>
      </c>
    </row>
    <row r="14" spans="1:18" s="13" customFormat="1" hidden="1" x14ac:dyDescent="0.25">
      <c r="A14" s="13">
        <v>8003879954</v>
      </c>
      <c r="B14" s="13">
        <v>2</v>
      </c>
      <c r="C14" s="13">
        <v>30112017</v>
      </c>
      <c r="D14" s="13">
        <v>489</v>
      </c>
      <c r="E14" s="13" t="str">
        <f>"AUTOPAY CHARGES"</f>
        <v>AUTOPAY CHARGES</v>
      </c>
      <c r="F14" s="13">
        <v>3471</v>
      </c>
      <c r="G14" s="13" t="str">
        <f>"05836525"</f>
        <v>05836525</v>
      </c>
      <c r="H14" s="14">
        <v>36</v>
      </c>
      <c r="I14" s="13" t="s">
        <v>28</v>
      </c>
      <c r="J14" s="13">
        <v>548343.27</v>
      </c>
      <c r="K14" s="13" t="s">
        <v>26</v>
      </c>
      <c r="L14" s="13">
        <v>61723</v>
      </c>
      <c r="M14" s="13" t="str">
        <f>""</f>
        <v/>
      </c>
      <c r="O14" s="13">
        <v>1</v>
      </c>
    </row>
    <row r="15" spans="1:18" s="13" customFormat="1" hidden="1" x14ac:dyDescent="0.25">
      <c r="A15" s="13">
        <v>8003879954</v>
      </c>
      <c r="B15" s="13">
        <v>1</v>
      </c>
      <c r="C15" s="13">
        <v>30112017</v>
      </c>
      <c r="D15" s="13">
        <v>669</v>
      </c>
      <c r="E15" s="13" t="str">
        <f>"AUTOPAY DR"</f>
        <v>AUTOPAY DR</v>
      </c>
      <c r="F15" s="13">
        <v>3471</v>
      </c>
      <c r="G15" s="13" t="str">
        <f>"05803369"</f>
        <v>05803369</v>
      </c>
      <c r="H15" s="14">
        <v>84040.94</v>
      </c>
      <c r="I15" s="13" t="s">
        <v>28</v>
      </c>
      <c r="J15" s="13">
        <v>548379.27</v>
      </c>
      <c r="K15" s="13" t="s">
        <v>26</v>
      </c>
      <c r="L15" s="13">
        <v>50815</v>
      </c>
      <c r="M15" s="13" t="str">
        <f>"U2017112101662 Autopay20171130-Encrypted"</f>
        <v>U2017112101662 Autopay20171130-Encrypted</v>
      </c>
      <c r="O15" s="13">
        <v>1</v>
      </c>
      <c r="P15" s="13" t="str">
        <f>"347105803369"</f>
        <v>347105803369</v>
      </c>
      <c r="R15" s="13" t="str">
        <f>"/"</f>
        <v>/</v>
      </c>
    </row>
    <row r="16" spans="1:18" s="13" customFormat="1" hidden="1" x14ac:dyDescent="0.25">
      <c r="A16" s="13">
        <v>8003879954</v>
      </c>
      <c r="B16" s="13">
        <v>1</v>
      </c>
      <c r="C16" s="13">
        <v>28112017</v>
      </c>
      <c r="D16" s="13">
        <v>5</v>
      </c>
      <c r="E16" s="13" t="str">
        <f>"REMITTANCE CR"</f>
        <v>REMITTANCE CR</v>
      </c>
      <c r="H16" s="14">
        <v>450000</v>
      </c>
      <c r="I16" s="13" t="s">
        <v>26</v>
      </c>
      <c r="J16" s="13">
        <v>632420.21</v>
      </c>
      <c r="K16" s="13" t="s">
        <v>26</v>
      </c>
      <c r="L16" s="13">
        <v>154538</v>
      </c>
      <c r="M16" s="13" t="str">
        <f>"/ROC/KLMP0024895RES RHB ASSET MANAGEMENT"</f>
        <v>/ROC/KLMP0024895RES RHB ASSET MANAGEMENT</v>
      </c>
      <c r="O16" s="13">
        <v>1</v>
      </c>
      <c r="P16" s="13" t="str">
        <f>"KLMP0024895"</f>
        <v>KLMP0024895</v>
      </c>
      <c r="Q16" s="13" t="str">
        <f>"RESIDENT"</f>
        <v>RESIDENT</v>
      </c>
      <c r="R16" s="13" t="str">
        <f>"RHB ASSET MANAGEMENT"</f>
        <v>RHB ASSET MANAGEMENT</v>
      </c>
    </row>
    <row r="17" spans="1:18" s="13" customFormat="1" x14ac:dyDescent="0.25">
      <c r="A17" s="13">
        <v>8003879954</v>
      </c>
      <c r="B17" s="13">
        <v>3</v>
      </c>
      <c r="C17" s="13">
        <v>27112017</v>
      </c>
      <c r="D17" s="13">
        <v>299</v>
      </c>
      <c r="E17" s="13" t="str">
        <f>"GST"</f>
        <v>GST</v>
      </c>
      <c r="H17" s="14">
        <v>0.03</v>
      </c>
      <c r="I17" s="13" t="s">
        <v>28</v>
      </c>
      <c r="J17" s="13">
        <v>182420.21</v>
      </c>
      <c r="K17" s="13" t="s">
        <v>26</v>
      </c>
      <c r="L17" s="13">
        <v>5804</v>
      </c>
      <c r="M17" s="13" t="str">
        <f>""</f>
        <v/>
      </c>
      <c r="O17" s="13">
        <v>1</v>
      </c>
    </row>
    <row r="18" spans="1:18" s="13" customFormat="1" hidden="1" x14ac:dyDescent="0.25">
      <c r="A18" s="13">
        <v>8003879954</v>
      </c>
      <c r="B18" s="13">
        <v>2</v>
      </c>
      <c r="C18" s="13">
        <v>27112017</v>
      </c>
      <c r="D18" s="13">
        <v>819</v>
      </c>
      <c r="E18" s="13" t="str">
        <f>"CHQ PROCESSING FEE"</f>
        <v>CHQ PROCESSING FEE</v>
      </c>
      <c r="H18" s="14">
        <v>0.5</v>
      </c>
      <c r="I18" s="13" t="s">
        <v>28</v>
      </c>
      <c r="J18" s="13">
        <v>182420.24</v>
      </c>
      <c r="K18" s="13" t="s">
        <v>26</v>
      </c>
      <c r="L18" s="13">
        <v>5804</v>
      </c>
      <c r="M18" s="13" t="str">
        <f>""</f>
        <v/>
      </c>
      <c r="O18" s="13">
        <v>1</v>
      </c>
    </row>
    <row r="19" spans="1:18" s="13" customFormat="1" hidden="1" x14ac:dyDescent="0.25">
      <c r="A19" s="13">
        <v>8003879954</v>
      </c>
      <c r="B19" s="13">
        <v>1</v>
      </c>
      <c r="C19" s="13">
        <v>27112017</v>
      </c>
      <c r="D19" s="13">
        <v>321</v>
      </c>
      <c r="E19" s="13" t="str">
        <f>"HOUSE CHQ DR"</f>
        <v>HOUSE CHQ DR</v>
      </c>
      <c r="F19" s="13">
        <v>0</v>
      </c>
      <c r="G19" s="13" t="str">
        <f>"00688070"</f>
        <v>00688070</v>
      </c>
      <c r="H19" s="14">
        <v>1266</v>
      </c>
      <c r="I19" s="13" t="s">
        <v>28</v>
      </c>
      <c r="J19" s="13">
        <v>182420.74</v>
      </c>
      <c r="K19" s="13" t="s">
        <v>26</v>
      </c>
      <c r="L19" s="13">
        <v>5509</v>
      </c>
      <c r="M19" s="13" t="str">
        <f>""</f>
        <v/>
      </c>
      <c r="O19" s="13">
        <v>1</v>
      </c>
    </row>
    <row r="20" spans="1:18" s="13" customFormat="1" hidden="1" x14ac:dyDescent="0.25">
      <c r="A20" s="13">
        <v>8003879954</v>
      </c>
      <c r="B20" s="13">
        <v>1</v>
      </c>
      <c r="C20" s="13">
        <v>21112017</v>
      </c>
      <c r="D20" s="13">
        <v>123</v>
      </c>
      <c r="E20" s="13" t="str">
        <f>"2D LOCAL CHQ"</f>
        <v>2D LOCAL CHQ</v>
      </c>
      <c r="F20" s="13">
        <v>2007</v>
      </c>
      <c r="G20" s="13" t="str">
        <f>"32869827"</f>
        <v>32869827</v>
      </c>
      <c r="H20" s="14">
        <v>22913.48</v>
      </c>
      <c r="I20" s="13" t="s">
        <v>26</v>
      </c>
      <c r="J20" s="13">
        <v>183686.74</v>
      </c>
      <c r="K20" s="13" t="s">
        <v>26</v>
      </c>
      <c r="L20" s="13">
        <v>190953</v>
      </c>
      <c r="M20" s="13" t="str">
        <f>""</f>
        <v/>
      </c>
      <c r="O20" s="13">
        <v>1</v>
      </c>
    </row>
    <row r="21" spans="1:18" s="13" customFormat="1" hidden="1" x14ac:dyDescent="0.25">
      <c r="A21" s="13">
        <v>8003879954</v>
      </c>
      <c r="B21" s="13">
        <v>30</v>
      </c>
      <c r="C21" s="13">
        <v>20112017</v>
      </c>
      <c r="D21" s="13">
        <v>5</v>
      </c>
      <c r="E21" s="13" t="str">
        <f>"REMITTANCE CR"</f>
        <v>REMITTANCE CR</v>
      </c>
      <c r="H21" s="14">
        <v>100000</v>
      </c>
      <c r="I21" s="13" t="s">
        <v>26</v>
      </c>
      <c r="J21" s="13">
        <v>160773.26</v>
      </c>
      <c r="K21" s="13" t="s">
        <v>26</v>
      </c>
      <c r="L21" s="13">
        <v>154348</v>
      </c>
      <c r="M21" s="13" t="str">
        <f>"/ROC/KLMP0024322RES RHB ASSET MANAGEMENT"</f>
        <v>/ROC/KLMP0024322RES RHB ASSET MANAGEMENT</v>
      </c>
      <c r="O21" s="13">
        <v>1</v>
      </c>
      <c r="P21" s="13" t="str">
        <f>"KLMP0024322"</f>
        <v>KLMP0024322</v>
      </c>
      <c r="Q21" s="13" t="str">
        <f>"RESIDENT"</f>
        <v>RESIDENT</v>
      </c>
      <c r="R21" s="13" t="str">
        <f>"RHB ASSET MANAGEMENT"</f>
        <v>RHB ASSET MANAGEMENT</v>
      </c>
    </row>
    <row r="22" spans="1:18" s="13" customFormat="1" hidden="1" x14ac:dyDescent="0.25">
      <c r="A22" s="13">
        <v>8003879954</v>
      </c>
      <c r="B22" s="13">
        <v>29</v>
      </c>
      <c r="C22" s="13">
        <v>20112017</v>
      </c>
      <c r="D22" s="13">
        <v>341</v>
      </c>
      <c r="E22" s="13" t="str">
        <f>"TR IBG"</f>
        <v>TR IBG</v>
      </c>
      <c r="F22" s="13">
        <v>9938</v>
      </c>
      <c r="G22" s="13" t="str">
        <f>"23151059"</f>
        <v>23151059</v>
      </c>
      <c r="H22" s="14">
        <v>90</v>
      </c>
      <c r="I22" s="13" t="s">
        <v>28</v>
      </c>
      <c r="J22" s="13">
        <v>60773.26</v>
      </c>
      <c r="K22" s="13" t="s">
        <v>26</v>
      </c>
      <c r="L22" s="13">
        <v>82048</v>
      </c>
      <c r="M22" s="13" t="str">
        <f>"LIANG CHOW MING"</f>
        <v>LIANG CHOW MING</v>
      </c>
      <c r="O22" s="13">
        <v>1</v>
      </c>
      <c r="P22" s="13" t="str">
        <f>"PGTEFT2754"</f>
        <v>PGTEFT2754</v>
      </c>
      <c r="Q22" s="13" t="str">
        <f>"INV19547"</f>
        <v>INV19547</v>
      </c>
    </row>
    <row r="23" spans="1:18" s="13" customFormat="1" x14ac:dyDescent="0.25">
      <c r="A23" s="13">
        <v>8003879954</v>
      </c>
      <c r="B23" s="13">
        <v>28</v>
      </c>
      <c r="C23" s="13">
        <v>20112017</v>
      </c>
      <c r="D23" s="13">
        <v>299</v>
      </c>
      <c r="E23" s="13" t="str">
        <f>"GST"</f>
        <v>GST</v>
      </c>
      <c r="F23" s="13">
        <v>9938</v>
      </c>
      <c r="G23" s="13" t="str">
        <f>"23151059"</f>
        <v>23151059</v>
      </c>
      <c r="H23" s="14">
        <v>0.01</v>
      </c>
      <c r="I23" s="13" t="s">
        <v>28</v>
      </c>
      <c r="J23" s="13">
        <v>60863.26</v>
      </c>
      <c r="K23" s="13" t="s">
        <v>26</v>
      </c>
      <c r="L23" s="13">
        <v>82048</v>
      </c>
      <c r="M23" s="13" t="str">
        <f>"PGTEFT2754          INV19547"</f>
        <v>PGTEFT2754          INV19547</v>
      </c>
      <c r="O23" s="13">
        <v>1</v>
      </c>
    </row>
    <row r="24" spans="1:18" s="13" customFormat="1" hidden="1" x14ac:dyDescent="0.25">
      <c r="A24" s="13">
        <v>8003879954</v>
      </c>
      <c r="B24" s="13">
        <v>27</v>
      </c>
      <c r="C24" s="13">
        <v>20112017</v>
      </c>
      <c r="D24" s="13">
        <v>489</v>
      </c>
      <c r="E24" s="13" t="str">
        <f>"OTHER TRANSFER FEE"</f>
        <v>OTHER TRANSFER FEE</v>
      </c>
      <c r="F24" s="13">
        <v>9938</v>
      </c>
      <c r="G24" s="13" t="str">
        <f>"23151059"</f>
        <v>23151059</v>
      </c>
      <c r="H24" s="14">
        <v>0.1</v>
      </c>
      <c r="I24" s="13" t="s">
        <v>28</v>
      </c>
      <c r="J24" s="13">
        <v>60863.27</v>
      </c>
      <c r="K24" s="13" t="s">
        <v>26</v>
      </c>
      <c r="L24" s="13">
        <v>82048</v>
      </c>
      <c r="M24" s="13" t="str">
        <f>"PGTEFT2754          INV19547"</f>
        <v>PGTEFT2754          INV19547</v>
      </c>
      <c r="O24" s="13">
        <v>1</v>
      </c>
    </row>
    <row r="25" spans="1:18" s="13" customFormat="1" hidden="1" x14ac:dyDescent="0.25">
      <c r="A25" s="13">
        <v>8003879954</v>
      </c>
      <c r="B25" s="13">
        <v>26</v>
      </c>
      <c r="C25" s="13">
        <v>20112017</v>
      </c>
      <c r="D25" s="13">
        <v>341</v>
      </c>
      <c r="E25" s="13" t="str">
        <f>"TR IBG"</f>
        <v>TR IBG</v>
      </c>
      <c r="F25" s="13">
        <v>9938</v>
      </c>
      <c r="G25" s="13" t="str">
        <f>"23150315"</f>
        <v>23150315</v>
      </c>
      <c r="H25" s="14">
        <v>177.18</v>
      </c>
      <c r="I25" s="13" t="s">
        <v>28</v>
      </c>
      <c r="J25" s="13">
        <v>60863.37</v>
      </c>
      <c r="K25" s="13" t="s">
        <v>26</v>
      </c>
      <c r="L25" s="13">
        <v>82014</v>
      </c>
      <c r="M25" s="13" t="str">
        <f>"TOONG LI STATIONERY"</f>
        <v>TOONG LI STATIONERY</v>
      </c>
      <c r="O25" s="13">
        <v>1</v>
      </c>
      <c r="P25" s="13" t="str">
        <f>"PGTEFT2757"</f>
        <v>PGTEFT2757</v>
      </c>
      <c r="Q25" s="13" t="str">
        <f>"IV-132880"</f>
        <v>IV-132880</v>
      </c>
    </row>
    <row r="26" spans="1:18" s="13" customFormat="1" x14ac:dyDescent="0.25">
      <c r="A26" s="13">
        <v>8003879954</v>
      </c>
      <c r="B26" s="13">
        <v>25</v>
      </c>
      <c r="C26" s="13">
        <v>20112017</v>
      </c>
      <c r="D26" s="13">
        <v>299</v>
      </c>
      <c r="E26" s="13" t="str">
        <f>"GST"</f>
        <v>GST</v>
      </c>
      <c r="F26" s="13">
        <v>9938</v>
      </c>
      <c r="G26" s="13" t="str">
        <f>"23150315"</f>
        <v>23150315</v>
      </c>
      <c r="H26" s="14">
        <v>0.01</v>
      </c>
      <c r="I26" s="13" t="s">
        <v>28</v>
      </c>
      <c r="J26" s="13">
        <v>61040.55</v>
      </c>
      <c r="K26" s="13" t="s">
        <v>26</v>
      </c>
      <c r="L26" s="13">
        <v>82014</v>
      </c>
      <c r="M26" s="13" t="str">
        <f>"PGTEFT2757          IV-132880"</f>
        <v>PGTEFT2757          IV-132880</v>
      </c>
      <c r="O26" s="13">
        <v>1</v>
      </c>
    </row>
    <row r="27" spans="1:18" s="13" customFormat="1" hidden="1" x14ac:dyDescent="0.25">
      <c r="A27" s="13">
        <v>8003879954</v>
      </c>
      <c r="B27" s="13">
        <v>24</v>
      </c>
      <c r="C27" s="13">
        <v>20112017</v>
      </c>
      <c r="D27" s="13">
        <v>489</v>
      </c>
      <c r="E27" s="13" t="str">
        <f>"OTHER TRANSFER FEE"</f>
        <v>OTHER TRANSFER FEE</v>
      </c>
      <c r="F27" s="13">
        <v>9938</v>
      </c>
      <c r="G27" s="13" t="str">
        <f>"23150315"</f>
        <v>23150315</v>
      </c>
      <c r="H27" s="14">
        <v>0.1</v>
      </c>
      <c r="I27" s="13" t="s">
        <v>28</v>
      </c>
      <c r="J27" s="13">
        <v>61040.56</v>
      </c>
      <c r="K27" s="13" t="s">
        <v>26</v>
      </c>
      <c r="L27" s="13">
        <v>82014</v>
      </c>
      <c r="M27" s="13" t="str">
        <f>"PGTEFT2757          IV-132880"</f>
        <v>PGTEFT2757          IV-132880</v>
      </c>
      <c r="O27" s="13">
        <v>1</v>
      </c>
    </row>
    <row r="28" spans="1:18" s="13" customFormat="1" hidden="1" x14ac:dyDescent="0.25">
      <c r="A28" s="13">
        <v>8003879954</v>
      </c>
      <c r="B28" s="13">
        <v>23</v>
      </c>
      <c r="C28" s="13">
        <v>20112017</v>
      </c>
      <c r="D28" s="13">
        <v>341</v>
      </c>
      <c r="E28" s="13" t="str">
        <f>"TR IBG"</f>
        <v>TR IBG</v>
      </c>
      <c r="F28" s="13">
        <v>9938</v>
      </c>
      <c r="G28" s="13" t="str">
        <f>"23149860"</f>
        <v>23149860</v>
      </c>
      <c r="H28" s="14">
        <v>240</v>
      </c>
      <c r="I28" s="13" t="s">
        <v>28</v>
      </c>
      <c r="J28" s="13">
        <v>61040.66</v>
      </c>
      <c r="K28" s="13" t="s">
        <v>26</v>
      </c>
      <c r="L28" s="13">
        <v>81933</v>
      </c>
      <c r="M28" s="13" t="str">
        <f>"YOONG SUH YEN"</f>
        <v>YOONG SUH YEN</v>
      </c>
      <c r="O28" s="13">
        <v>1</v>
      </c>
      <c r="P28" s="13" t="str">
        <f>"PGTEFT2760"</f>
        <v>PGTEFT2760</v>
      </c>
      <c r="Q28" s="13" t="str">
        <f>"WELCOMING RECEPTION"</f>
        <v>WELCOMING RECEPTION</v>
      </c>
    </row>
    <row r="29" spans="1:18" s="13" customFormat="1" x14ac:dyDescent="0.25">
      <c r="A29" s="13">
        <v>8003879954</v>
      </c>
      <c r="B29" s="13">
        <v>22</v>
      </c>
      <c r="C29" s="13">
        <v>20112017</v>
      </c>
      <c r="D29" s="13">
        <v>299</v>
      </c>
      <c r="E29" s="13" t="str">
        <f>"GST"</f>
        <v>GST</v>
      </c>
      <c r="F29" s="13">
        <v>9938</v>
      </c>
      <c r="G29" s="13" t="str">
        <f>"23149860"</f>
        <v>23149860</v>
      </c>
      <c r="H29" s="14">
        <v>0.01</v>
      </c>
      <c r="I29" s="13" t="s">
        <v>28</v>
      </c>
      <c r="J29" s="13">
        <v>61280.66</v>
      </c>
      <c r="K29" s="13" t="s">
        <v>26</v>
      </c>
      <c r="L29" s="13">
        <v>81933</v>
      </c>
      <c r="M29" s="13" t="str">
        <f>"PGTEFT2760          WELCOMING RECEPTION"</f>
        <v>PGTEFT2760          WELCOMING RECEPTION</v>
      </c>
      <c r="O29" s="13">
        <v>1</v>
      </c>
    </row>
    <row r="30" spans="1:18" s="13" customFormat="1" hidden="1" x14ac:dyDescent="0.25">
      <c r="A30" s="13">
        <v>8003879954</v>
      </c>
      <c r="B30" s="13">
        <v>21</v>
      </c>
      <c r="C30" s="13">
        <v>20112017</v>
      </c>
      <c r="D30" s="13">
        <v>489</v>
      </c>
      <c r="E30" s="13" t="str">
        <f>"OTHER TRANSFER FEE"</f>
        <v>OTHER TRANSFER FEE</v>
      </c>
      <c r="F30" s="13">
        <v>9938</v>
      </c>
      <c r="G30" s="13" t="str">
        <f>"23149860"</f>
        <v>23149860</v>
      </c>
      <c r="H30" s="14">
        <v>0.1</v>
      </c>
      <c r="I30" s="13" t="s">
        <v>28</v>
      </c>
      <c r="J30" s="13">
        <v>61280.67</v>
      </c>
      <c r="K30" s="13" t="s">
        <v>26</v>
      </c>
      <c r="L30" s="13">
        <v>81933</v>
      </c>
      <c r="M30" s="13" t="str">
        <f>"PGTEFT2760          WELCOMING RECEPTION"</f>
        <v>PGTEFT2760          WELCOMING RECEPTION</v>
      </c>
      <c r="O30" s="13">
        <v>1</v>
      </c>
    </row>
    <row r="31" spans="1:18" s="13" customFormat="1" hidden="1" x14ac:dyDescent="0.25">
      <c r="A31" s="13">
        <v>8003879954</v>
      </c>
      <c r="B31" s="13">
        <v>20</v>
      </c>
      <c r="C31" s="13">
        <v>20112017</v>
      </c>
      <c r="D31" s="13">
        <v>341</v>
      </c>
      <c r="E31" s="13" t="str">
        <f>"TR IBG"</f>
        <v>TR IBG</v>
      </c>
      <c r="F31" s="13">
        <v>9938</v>
      </c>
      <c r="G31" s="13" t="str">
        <f>"23151553"</f>
        <v>23151553</v>
      </c>
      <c r="H31" s="14">
        <v>339.2</v>
      </c>
      <c r="I31" s="13" t="s">
        <v>28</v>
      </c>
      <c r="J31" s="13">
        <v>61280.77</v>
      </c>
      <c r="K31" s="13" t="s">
        <v>26</v>
      </c>
      <c r="L31" s="13">
        <v>81844</v>
      </c>
      <c r="M31" s="13" t="str">
        <f>"FUJI XEROX ASIA PACI"</f>
        <v>FUJI XEROX ASIA PACI</v>
      </c>
      <c r="O31" s="13">
        <v>1</v>
      </c>
      <c r="P31" s="13" t="str">
        <f>"PGTEFT2753"</f>
        <v>PGTEFT2753</v>
      </c>
      <c r="Q31" s="13" t="str">
        <f>"INV30132493"</f>
        <v>INV30132493</v>
      </c>
    </row>
    <row r="32" spans="1:18" s="13" customFormat="1" x14ac:dyDescent="0.25">
      <c r="A32" s="13">
        <v>8003879954</v>
      </c>
      <c r="B32" s="13">
        <v>19</v>
      </c>
      <c r="C32" s="13">
        <v>20112017</v>
      </c>
      <c r="D32" s="13">
        <v>299</v>
      </c>
      <c r="E32" s="13" t="str">
        <f>"GST"</f>
        <v>GST</v>
      </c>
      <c r="F32" s="13">
        <v>9938</v>
      </c>
      <c r="G32" s="13" t="str">
        <f>"23151553"</f>
        <v>23151553</v>
      </c>
      <c r="H32" s="14">
        <v>0.01</v>
      </c>
      <c r="I32" s="13" t="s">
        <v>28</v>
      </c>
      <c r="J32" s="13">
        <v>61619.97</v>
      </c>
      <c r="K32" s="13" t="s">
        <v>26</v>
      </c>
      <c r="L32" s="13">
        <v>81844</v>
      </c>
      <c r="M32" s="13" t="str">
        <f>"PGTEFT2753          INV30132493"</f>
        <v>PGTEFT2753          INV30132493</v>
      </c>
      <c r="O32" s="13">
        <v>1</v>
      </c>
    </row>
    <row r="33" spans="1:17" s="13" customFormat="1" hidden="1" x14ac:dyDescent="0.25">
      <c r="A33" s="13">
        <v>8003879954</v>
      </c>
      <c r="B33" s="13">
        <v>18</v>
      </c>
      <c r="C33" s="13">
        <v>20112017</v>
      </c>
      <c r="D33" s="13">
        <v>489</v>
      </c>
      <c r="E33" s="13" t="str">
        <f>"OTHER TRANSFER FEE"</f>
        <v>OTHER TRANSFER FEE</v>
      </c>
      <c r="F33" s="13">
        <v>9938</v>
      </c>
      <c r="G33" s="13" t="str">
        <f>"23151553"</f>
        <v>23151553</v>
      </c>
      <c r="H33" s="14">
        <v>0.1</v>
      </c>
      <c r="I33" s="13" t="s">
        <v>28</v>
      </c>
      <c r="J33" s="13">
        <v>61619.98</v>
      </c>
      <c r="K33" s="13" t="s">
        <v>26</v>
      </c>
      <c r="L33" s="13">
        <v>81844</v>
      </c>
      <c r="M33" s="13" t="str">
        <f>"PGTEFT2753          INV30132493"</f>
        <v>PGTEFT2753          INV30132493</v>
      </c>
      <c r="O33" s="13">
        <v>1</v>
      </c>
    </row>
    <row r="34" spans="1:17" s="13" customFormat="1" hidden="1" x14ac:dyDescent="0.25">
      <c r="A34" s="13">
        <v>8003879954</v>
      </c>
      <c r="B34" s="13">
        <v>17</v>
      </c>
      <c r="C34" s="13">
        <v>20112017</v>
      </c>
      <c r="D34" s="13">
        <v>341</v>
      </c>
      <c r="E34" s="13" t="str">
        <f>"TR IBG"</f>
        <v>TR IBG</v>
      </c>
      <c r="F34" s="13">
        <v>9938</v>
      </c>
      <c r="G34" s="13" t="str">
        <f>"23149008"</f>
        <v>23149008</v>
      </c>
      <c r="H34" s="14">
        <v>1270.94</v>
      </c>
      <c r="I34" s="13" t="s">
        <v>28</v>
      </c>
      <c r="J34" s="13">
        <v>61620.08</v>
      </c>
      <c r="K34" s="13" t="s">
        <v>26</v>
      </c>
      <c r="L34" s="13">
        <v>81538</v>
      </c>
      <c r="M34" s="13" t="str">
        <f>"REDTONE TELECOMMUNIC"</f>
        <v>REDTONE TELECOMMUNIC</v>
      </c>
      <c r="O34" s="13">
        <v>1</v>
      </c>
      <c r="P34" s="13" t="str">
        <f>"PGTEFT2763"</f>
        <v>PGTEFT2763</v>
      </c>
      <c r="Q34" s="13" t="str">
        <f>"CUS ID 130000409"</f>
        <v>CUS ID 130000409</v>
      </c>
    </row>
    <row r="35" spans="1:17" s="13" customFormat="1" x14ac:dyDescent="0.25">
      <c r="A35" s="13">
        <v>8003879954</v>
      </c>
      <c r="B35" s="13">
        <v>16</v>
      </c>
      <c r="C35" s="13">
        <v>20112017</v>
      </c>
      <c r="D35" s="13">
        <v>299</v>
      </c>
      <c r="E35" s="13" t="str">
        <f>"GST"</f>
        <v>GST</v>
      </c>
      <c r="F35" s="13">
        <v>9938</v>
      </c>
      <c r="G35" s="13" t="str">
        <f>"23149008"</f>
        <v>23149008</v>
      </c>
      <c r="H35" s="14">
        <v>0.01</v>
      </c>
      <c r="I35" s="13" t="s">
        <v>28</v>
      </c>
      <c r="J35" s="13">
        <v>62891.02</v>
      </c>
      <c r="K35" s="13" t="s">
        <v>26</v>
      </c>
      <c r="L35" s="13">
        <v>81538</v>
      </c>
      <c r="M35" s="13" t="str">
        <f>"PGTEFT2763          CUS ID 130000409"</f>
        <v>PGTEFT2763          CUS ID 130000409</v>
      </c>
      <c r="O35" s="13">
        <v>1</v>
      </c>
    </row>
    <row r="36" spans="1:17" s="13" customFormat="1" hidden="1" x14ac:dyDescent="0.25">
      <c r="A36" s="13">
        <v>8003879954</v>
      </c>
      <c r="B36" s="13">
        <v>15</v>
      </c>
      <c r="C36" s="13">
        <v>20112017</v>
      </c>
      <c r="D36" s="13">
        <v>489</v>
      </c>
      <c r="E36" s="13" t="str">
        <f>"OTHER TRANSFER FEE"</f>
        <v>OTHER TRANSFER FEE</v>
      </c>
      <c r="F36" s="13">
        <v>9938</v>
      </c>
      <c r="G36" s="13" t="str">
        <f>"23149008"</f>
        <v>23149008</v>
      </c>
      <c r="H36" s="14">
        <v>0.1</v>
      </c>
      <c r="I36" s="13" t="s">
        <v>28</v>
      </c>
      <c r="J36" s="13">
        <v>62891.03</v>
      </c>
      <c r="K36" s="13" t="s">
        <v>26</v>
      </c>
      <c r="L36" s="13">
        <v>81538</v>
      </c>
      <c r="M36" s="13" t="str">
        <f>"PGTEFT2763          CUS ID 130000409"</f>
        <v>PGTEFT2763          CUS ID 130000409</v>
      </c>
      <c r="O36" s="13">
        <v>1</v>
      </c>
    </row>
    <row r="37" spans="1:17" s="13" customFormat="1" hidden="1" x14ac:dyDescent="0.25">
      <c r="A37" s="13">
        <v>8003879954</v>
      </c>
      <c r="B37" s="13">
        <v>14</v>
      </c>
      <c r="C37" s="13">
        <v>20112017</v>
      </c>
      <c r="D37" s="13">
        <v>341</v>
      </c>
      <c r="E37" s="13" t="str">
        <f>"TR IBG"</f>
        <v>TR IBG</v>
      </c>
      <c r="F37" s="13">
        <v>9938</v>
      </c>
      <c r="G37" s="13" t="str">
        <f>"23150682"</f>
        <v>23150682</v>
      </c>
      <c r="H37" s="14">
        <v>1746.87</v>
      </c>
      <c r="I37" s="13" t="s">
        <v>28</v>
      </c>
      <c r="J37" s="13">
        <v>62891.13</v>
      </c>
      <c r="K37" s="13" t="s">
        <v>26</v>
      </c>
      <c r="L37" s="13">
        <v>80835</v>
      </c>
      <c r="M37" s="13" t="str">
        <f>"TNT EXPRESS WORLDWID"</f>
        <v>TNT EXPRESS WORLDWID</v>
      </c>
      <c r="O37" s="13">
        <v>1</v>
      </c>
      <c r="P37" s="13" t="str">
        <f>"PGTEFT2756"</f>
        <v>PGTEFT2756</v>
      </c>
      <c r="Q37" s="13" t="str">
        <f>"INV07268682 07261175"</f>
        <v>INV07268682 07261175</v>
      </c>
    </row>
    <row r="38" spans="1:17" s="13" customFormat="1" x14ac:dyDescent="0.25">
      <c r="A38" s="13">
        <v>8003879954</v>
      </c>
      <c r="B38" s="13">
        <v>13</v>
      </c>
      <c r="C38" s="13">
        <v>20112017</v>
      </c>
      <c r="D38" s="13">
        <v>299</v>
      </c>
      <c r="E38" s="13" t="str">
        <f>"GST"</f>
        <v>GST</v>
      </c>
      <c r="F38" s="13">
        <v>9938</v>
      </c>
      <c r="G38" s="13" t="str">
        <f>"23150682"</f>
        <v>23150682</v>
      </c>
      <c r="H38" s="14">
        <v>0.01</v>
      </c>
      <c r="I38" s="13" t="s">
        <v>28</v>
      </c>
      <c r="J38" s="13">
        <v>64638</v>
      </c>
      <c r="K38" s="13" t="s">
        <v>26</v>
      </c>
      <c r="L38" s="13">
        <v>80835</v>
      </c>
      <c r="M38" s="13" t="str">
        <f>"PGTEFT2756          INV07268682 07261175"</f>
        <v>PGTEFT2756          INV07268682 07261175</v>
      </c>
      <c r="O38" s="13">
        <v>1</v>
      </c>
    </row>
    <row r="39" spans="1:17" s="13" customFormat="1" hidden="1" x14ac:dyDescent="0.25">
      <c r="A39" s="13">
        <v>8003879954</v>
      </c>
      <c r="B39" s="13">
        <v>12</v>
      </c>
      <c r="C39" s="13">
        <v>20112017</v>
      </c>
      <c r="D39" s="13">
        <v>489</v>
      </c>
      <c r="E39" s="13" t="str">
        <f>"OTHER TRANSFER FEE"</f>
        <v>OTHER TRANSFER FEE</v>
      </c>
      <c r="F39" s="13">
        <v>9938</v>
      </c>
      <c r="G39" s="13" t="str">
        <f>"23150682"</f>
        <v>23150682</v>
      </c>
      <c r="H39" s="14">
        <v>0.1</v>
      </c>
      <c r="I39" s="13" t="s">
        <v>28</v>
      </c>
      <c r="J39" s="13">
        <v>64638.01</v>
      </c>
      <c r="K39" s="13" t="s">
        <v>26</v>
      </c>
      <c r="L39" s="13">
        <v>80835</v>
      </c>
      <c r="M39" s="13" t="str">
        <f>"PGTEFT2756          INV07268682 07261175"</f>
        <v>PGTEFT2756          INV07268682 07261175</v>
      </c>
      <c r="O39" s="13">
        <v>1</v>
      </c>
    </row>
    <row r="40" spans="1:17" s="13" customFormat="1" hidden="1" x14ac:dyDescent="0.25">
      <c r="A40" s="13">
        <v>8003879954</v>
      </c>
      <c r="B40" s="13">
        <v>11</v>
      </c>
      <c r="C40" s="13">
        <v>20112017</v>
      </c>
      <c r="D40" s="13">
        <v>60</v>
      </c>
      <c r="E40" s="13" t="str">
        <f>"TR TO C/A"</f>
        <v>TR TO C/A</v>
      </c>
      <c r="F40" s="13">
        <v>9938</v>
      </c>
      <c r="G40" s="13" t="str">
        <f>"23150142"</f>
        <v>23150142</v>
      </c>
      <c r="H40" s="14">
        <v>270</v>
      </c>
      <c r="I40" s="13" t="s">
        <v>28</v>
      </c>
      <c r="J40" s="13">
        <v>64638.11</v>
      </c>
      <c r="K40" s="13" t="s">
        <v>26</v>
      </c>
      <c r="L40" s="13">
        <v>80527</v>
      </c>
      <c r="M40" s="13" t="str">
        <f>"GUIDE FEE FOR OCT TOH KIM HOCK"</f>
        <v>GUIDE FEE FOR OCT TOH KIM HOCK</v>
      </c>
      <c r="O40" s="13">
        <v>1</v>
      </c>
      <c r="P40" s="13" t="str">
        <f>"PGTEFT2758"</f>
        <v>PGTEFT2758</v>
      </c>
      <c r="Q40" s="13" t="str">
        <f>"INV125T-2017"</f>
        <v>INV125T-2017</v>
      </c>
    </row>
    <row r="41" spans="1:17" s="13" customFormat="1" hidden="1" x14ac:dyDescent="0.25">
      <c r="A41" s="13">
        <v>8003879954</v>
      </c>
      <c r="B41" s="13">
        <v>10</v>
      </c>
      <c r="C41" s="13">
        <v>20112017</v>
      </c>
      <c r="D41" s="13">
        <v>341</v>
      </c>
      <c r="E41" s="13" t="str">
        <f>"TR IBG"</f>
        <v>TR IBG</v>
      </c>
      <c r="F41" s="13">
        <v>9938</v>
      </c>
      <c r="G41" s="13" t="str">
        <f>"23151754"</f>
        <v>23151754</v>
      </c>
      <c r="H41" s="14">
        <v>8255.2800000000007</v>
      </c>
      <c r="I41" s="13" t="s">
        <v>28</v>
      </c>
      <c r="J41" s="13">
        <v>64908.11</v>
      </c>
      <c r="K41" s="13" t="s">
        <v>26</v>
      </c>
      <c r="L41" s="13">
        <v>80427</v>
      </c>
      <c r="M41" s="13" t="str">
        <f>"EXABYTES NETWORKS SD"</f>
        <v>EXABYTES NETWORKS SD</v>
      </c>
      <c r="O41" s="13">
        <v>1</v>
      </c>
      <c r="P41" s="13" t="str">
        <f>"PGTEFT2752"</f>
        <v>PGTEFT2752</v>
      </c>
      <c r="Q41" s="13" t="str">
        <f>"INV8665615"</f>
        <v>INV8665615</v>
      </c>
    </row>
    <row r="42" spans="1:17" s="13" customFormat="1" x14ac:dyDescent="0.25">
      <c r="A42" s="13">
        <v>8003879954</v>
      </c>
      <c r="B42" s="13">
        <v>9</v>
      </c>
      <c r="C42" s="13">
        <v>20112017</v>
      </c>
      <c r="D42" s="13">
        <v>299</v>
      </c>
      <c r="E42" s="13" t="str">
        <f>"GST"</f>
        <v>GST</v>
      </c>
      <c r="F42" s="13">
        <v>9938</v>
      </c>
      <c r="G42" s="13" t="str">
        <f>"23151754"</f>
        <v>23151754</v>
      </c>
      <c r="H42" s="14">
        <v>0.01</v>
      </c>
      <c r="I42" s="13" t="s">
        <v>28</v>
      </c>
      <c r="J42" s="13">
        <v>73163.39</v>
      </c>
      <c r="K42" s="13" t="s">
        <v>26</v>
      </c>
      <c r="L42" s="13">
        <v>80427</v>
      </c>
      <c r="M42" s="13" t="str">
        <f>"PGTEFT2752          INV8665615"</f>
        <v>PGTEFT2752          INV8665615</v>
      </c>
      <c r="O42" s="13">
        <v>1</v>
      </c>
    </row>
    <row r="43" spans="1:17" s="13" customFormat="1" hidden="1" x14ac:dyDescent="0.25">
      <c r="A43" s="13">
        <v>8003879954</v>
      </c>
      <c r="B43" s="13">
        <v>8</v>
      </c>
      <c r="C43" s="13">
        <v>20112017</v>
      </c>
      <c r="D43" s="13">
        <v>489</v>
      </c>
      <c r="E43" s="13" t="str">
        <f>"OTHER TRANSFER FEE"</f>
        <v>OTHER TRANSFER FEE</v>
      </c>
      <c r="F43" s="13">
        <v>9938</v>
      </c>
      <c r="G43" s="13" t="str">
        <f>"23151754"</f>
        <v>23151754</v>
      </c>
      <c r="H43" s="14">
        <v>0.1</v>
      </c>
      <c r="I43" s="13" t="s">
        <v>28</v>
      </c>
      <c r="J43" s="13">
        <v>73163.399999999994</v>
      </c>
      <c r="K43" s="13" t="s">
        <v>26</v>
      </c>
      <c r="L43" s="13">
        <v>80427</v>
      </c>
      <c r="M43" s="13" t="str">
        <f>"PGTEFT2752          INV8665615"</f>
        <v>PGTEFT2752          INV8665615</v>
      </c>
      <c r="O43" s="13">
        <v>1</v>
      </c>
    </row>
    <row r="44" spans="1:17" s="13" customFormat="1" hidden="1" x14ac:dyDescent="0.25">
      <c r="A44" s="13">
        <v>8003879954</v>
      </c>
      <c r="B44" s="13">
        <v>7</v>
      </c>
      <c r="C44" s="13">
        <v>20112017</v>
      </c>
      <c r="D44" s="13">
        <v>341</v>
      </c>
      <c r="E44" s="13" t="str">
        <f>"TR IBG"</f>
        <v>TR IBG</v>
      </c>
      <c r="F44" s="13">
        <v>9938</v>
      </c>
      <c r="G44" s="13" t="str">
        <f>"23150977"</f>
        <v>23150977</v>
      </c>
      <c r="H44" s="14">
        <v>9540</v>
      </c>
      <c r="I44" s="13" t="s">
        <v>28</v>
      </c>
      <c r="J44" s="13">
        <v>73163.5</v>
      </c>
      <c r="K44" s="13" t="s">
        <v>26</v>
      </c>
      <c r="L44" s="13">
        <v>80415</v>
      </c>
      <c r="M44" s="13" t="str">
        <f>"REDBERRY OUTDOORS SD"</f>
        <v>REDBERRY OUTDOORS SD</v>
      </c>
      <c r="O44" s="13">
        <v>1</v>
      </c>
      <c r="P44" s="13" t="str">
        <f>"PGTEFT2755"</f>
        <v>PGTEFT2755</v>
      </c>
      <c r="Q44" s="13" t="str">
        <f>"RBO11204"</f>
        <v>RBO11204</v>
      </c>
    </row>
    <row r="45" spans="1:17" s="13" customFormat="1" x14ac:dyDescent="0.25">
      <c r="A45" s="13">
        <v>8003879954</v>
      </c>
      <c r="B45" s="13">
        <v>6</v>
      </c>
      <c r="C45" s="13">
        <v>20112017</v>
      </c>
      <c r="D45" s="13">
        <v>299</v>
      </c>
      <c r="E45" s="13" t="str">
        <f>"GST"</f>
        <v>GST</v>
      </c>
      <c r="F45" s="13">
        <v>9938</v>
      </c>
      <c r="G45" s="13" t="str">
        <f>"23150977"</f>
        <v>23150977</v>
      </c>
      <c r="H45" s="14">
        <v>0.01</v>
      </c>
      <c r="I45" s="13" t="s">
        <v>28</v>
      </c>
      <c r="J45" s="13">
        <v>82703.5</v>
      </c>
      <c r="K45" s="13" t="s">
        <v>26</v>
      </c>
      <c r="L45" s="13">
        <v>80415</v>
      </c>
      <c r="M45" s="13" t="str">
        <f>"PGTEFT2755          RBO11204"</f>
        <v>PGTEFT2755          RBO11204</v>
      </c>
      <c r="O45" s="13">
        <v>1</v>
      </c>
    </row>
    <row r="46" spans="1:17" s="13" customFormat="1" hidden="1" x14ac:dyDescent="0.25">
      <c r="A46" s="13">
        <v>8003879954</v>
      </c>
      <c r="B46" s="13">
        <v>5</v>
      </c>
      <c r="C46" s="13">
        <v>20112017</v>
      </c>
      <c r="D46" s="13">
        <v>489</v>
      </c>
      <c r="E46" s="13" t="str">
        <f>"OTHER TRANSFER FEE"</f>
        <v>OTHER TRANSFER FEE</v>
      </c>
      <c r="F46" s="13">
        <v>9938</v>
      </c>
      <c r="G46" s="13" t="str">
        <f>"23150977"</f>
        <v>23150977</v>
      </c>
      <c r="H46" s="14">
        <v>0.1</v>
      </c>
      <c r="I46" s="13" t="s">
        <v>28</v>
      </c>
      <c r="J46" s="13">
        <v>82703.509999999995</v>
      </c>
      <c r="K46" s="13" t="s">
        <v>26</v>
      </c>
      <c r="L46" s="13">
        <v>80415</v>
      </c>
      <c r="M46" s="13" t="str">
        <f>"PGTEFT2755          RBO11204"</f>
        <v>PGTEFT2755          RBO11204</v>
      </c>
      <c r="O46" s="13">
        <v>1</v>
      </c>
    </row>
    <row r="47" spans="1:17" s="13" customFormat="1" hidden="1" x14ac:dyDescent="0.25">
      <c r="A47" s="13">
        <v>8003879954</v>
      </c>
      <c r="B47" s="13">
        <v>4</v>
      </c>
      <c r="C47" s="13">
        <v>20112017</v>
      </c>
      <c r="D47" s="13">
        <v>60</v>
      </c>
      <c r="E47" s="13" t="str">
        <f>"TR TO C/A"</f>
        <v>TR TO C/A</v>
      </c>
      <c r="F47" s="13">
        <v>9938</v>
      </c>
      <c r="G47" s="13" t="str">
        <f>"23153430"</f>
        <v>23153430</v>
      </c>
      <c r="H47" s="14">
        <v>735</v>
      </c>
      <c r="I47" s="13" t="s">
        <v>28</v>
      </c>
      <c r="J47" s="13">
        <v>82703.61</v>
      </c>
      <c r="K47" s="13" t="s">
        <v>26</v>
      </c>
      <c r="L47" s="13">
        <v>80355</v>
      </c>
      <c r="M47" s="13" t="str">
        <f>"TAIWANT TAC CAMPAIGN BUTTERFLY HOUSE (PG"</f>
        <v>TAIWANT TAC CAMPAIGN BUTTERFLY HOUSE (PG</v>
      </c>
      <c r="O47" s="13">
        <v>1</v>
      </c>
      <c r="P47" s="13" t="str">
        <f>"PGTEFT2750"</f>
        <v>PGTEFT2750</v>
      </c>
      <c r="Q47" s="13" t="str">
        <f>"D002476"</f>
        <v>D002476</v>
      </c>
    </row>
    <row r="48" spans="1:17" s="13" customFormat="1" hidden="1" x14ac:dyDescent="0.25">
      <c r="A48" s="13">
        <v>8003879954</v>
      </c>
      <c r="B48" s="13">
        <v>3</v>
      </c>
      <c r="C48" s="13">
        <v>20112017</v>
      </c>
      <c r="D48" s="13">
        <v>345</v>
      </c>
      <c r="E48" s="13" t="str">
        <f>"TR TO SAVINGS"</f>
        <v>TR TO SAVINGS</v>
      </c>
      <c r="F48" s="13">
        <v>9938</v>
      </c>
      <c r="G48" s="13" t="str">
        <f>"23153921"</f>
        <v>23153921</v>
      </c>
      <c r="H48" s="14">
        <v>2013.19</v>
      </c>
      <c r="I48" s="13" t="s">
        <v>28</v>
      </c>
      <c r="J48" s="13">
        <v>83438.61</v>
      </c>
      <c r="K48" s="13" t="s">
        <v>26</v>
      </c>
      <c r="L48" s="13">
        <v>80258</v>
      </c>
      <c r="M48" s="13" t="str">
        <f>"ITB SINGAPORE THOY SIEW PING"</f>
        <v>ITB SINGAPORE THOY SIEW PING</v>
      </c>
      <c r="O48" s="13">
        <v>1</v>
      </c>
      <c r="P48" s="13" t="str">
        <f>"PGTEFT2759"</f>
        <v>PGTEFT2759</v>
      </c>
      <c r="Q48" s="13" t="str">
        <f>"CLAIMS"</f>
        <v>CLAIMS</v>
      </c>
    </row>
    <row r="49" spans="1:18" s="13" customFormat="1" hidden="1" x14ac:dyDescent="0.25">
      <c r="A49" s="13">
        <v>8003879954</v>
      </c>
      <c r="B49" s="13">
        <v>2</v>
      </c>
      <c r="C49" s="13">
        <v>20112017</v>
      </c>
      <c r="D49" s="13">
        <v>345</v>
      </c>
      <c r="E49" s="13" t="str">
        <f>"TR TO SAVINGS"</f>
        <v>TR TO SAVINGS</v>
      </c>
      <c r="F49" s="13">
        <v>9938</v>
      </c>
      <c r="G49" s="13" t="str">
        <f>"23149621"</f>
        <v>23149621</v>
      </c>
      <c r="H49" s="14">
        <v>2372.5300000000002</v>
      </c>
      <c r="I49" s="13" t="s">
        <v>28</v>
      </c>
      <c r="J49" s="13">
        <v>85451.8</v>
      </c>
      <c r="K49" s="13" t="s">
        <v>26</v>
      </c>
      <c r="L49" s="13">
        <v>80248</v>
      </c>
      <c r="M49" s="13" t="str">
        <f>"ITB ASIA &amp; TWG MEETI YOON PAULINE"</f>
        <v>ITB ASIA &amp; TWG MEETI YOON PAULINE</v>
      </c>
      <c r="O49" s="13">
        <v>1</v>
      </c>
      <c r="P49" s="13" t="str">
        <f>"PGTEFT2761"</f>
        <v>PGTEFT2761</v>
      </c>
      <c r="Q49" s="13" t="str">
        <f>"CLAIMS"</f>
        <v>CLAIMS</v>
      </c>
    </row>
    <row r="50" spans="1:18" s="13" customFormat="1" hidden="1" x14ac:dyDescent="0.25">
      <c r="A50" s="13">
        <v>8003879954</v>
      </c>
      <c r="B50" s="13">
        <v>1</v>
      </c>
      <c r="C50" s="13">
        <v>20112017</v>
      </c>
      <c r="D50" s="13">
        <v>346</v>
      </c>
      <c r="E50" s="13" t="str">
        <f>"I-PYMT TO CCARD"</f>
        <v>I-PYMT TO CCARD</v>
      </c>
      <c r="F50" s="13">
        <v>9938</v>
      </c>
      <c r="G50" s="13" t="str">
        <f>"201711170023152315"</f>
        <v>201711170023152315</v>
      </c>
      <c r="H50" s="14">
        <v>6467.74</v>
      </c>
      <c r="I50" s="13" t="s">
        <v>28</v>
      </c>
      <c r="J50" s="13">
        <v>87824.33</v>
      </c>
      <c r="K50" s="13" t="s">
        <v>26</v>
      </c>
      <c r="L50" s="13">
        <v>80202</v>
      </c>
      <c r="M50" s="13" t="str">
        <f>"NOV'17 OOI CHOK YAN"</f>
        <v>NOV'17 OOI CHOK YAN</v>
      </c>
      <c r="O50" s="13">
        <v>1</v>
      </c>
      <c r="P50" s="13" t="str">
        <f>"PGTEFT2751"</f>
        <v>PGTEFT2751</v>
      </c>
      <c r="Q50" s="13" t="str">
        <f>"CREDIT CARD"</f>
        <v>CREDIT CARD</v>
      </c>
    </row>
    <row r="51" spans="1:18" s="13" customFormat="1" x14ac:dyDescent="0.25">
      <c r="A51" s="13">
        <v>8003879954</v>
      </c>
      <c r="B51" s="13">
        <v>5</v>
      </c>
      <c r="C51" s="13">
        <v>17112017</v>
      </c>
      <c r="D51" s="13">
        <v>299</v>
      </c>
      <c r="E51" s="13" t="str">
        <f>"GST"</f>
        <v>GST</v>
      </c>
      <c r="H51" s="14">
        <v>0.03</v>
      </c>
      <c r="I51" s="13" t="s">
        <v>28</v>
      </c>
      <c r="J51" s="14">
        <v>94292.07</v>
      </c>
      <c r="K51" s="13" t="s">
        <v>26</v>
      </c>
      <c r="L51" s="13">
        <v>5611</v>
      </c>
      <c r="M51" s="13" t="str">
        <f>""</f>
        <v/>
      </c>
      <c r="O51" s="13">
        <v>1</v>
      </c>
    </row>
    <row r="52" spans="1:18" s="13" customFormat="1" hidden="1" x14ac:dyDescent="0.25">
      <c r="A52" s="13">
        <v>8003879954</v>
      </c>
      <c r="B52" s="13">
        <v>4</v>
      </c>
      <c r="C52" s="13">
        <v>17112017</v>
      </c>
      <c r="D52" s="13">
        <v>819</v>
      </c>
      <c r="E52" s="13" t="str">
        <f>"CHQ PROCESSING FEE"</f>
        <v>CHQ PROCESSING FEE</v>
      </c>
      <c r="H52" s="14">
        <v>0.5</v>
      </c>
      <c r="I52" s="13" t="s">
        <v>28</v>
      </c>
      <c r="J52" s="14">
        <v>94292.1</v>
      </c>
      <c r="K52" s="13" t="s">
        <v>26</v>
      </c>
      <c r="L52" s="13">
        <v>5611</v>
      </c>
      <c r="M52" s="13" t="str">
        <f>""</f>
        <v/>
      </c>
      <c r="O52" s="13">
        <v>1</v>
      </c>
    </row>
    <row r="53" spans="1:18" s="13" customFormat="1" hidden="1" x14ac:dyDescent="0.25">
      <c r="A53" s="13">
        <v>8003879954</v>
      </c>
      <c r="B53" s="13">
        <v>3</v>
      </c>
      <c r="C53" s="13">
        <v>17112017</v>
      </c>
      <c r="D53" s="13">
        <v>323</v>
      </c>
      <c r="E53" s="13" t="str">
        <f>"CLRG CHQ DR"</f>
        <v>CLRG CHQ DR</v>
      </c>
      <c r="F53" s="13">
        <v>0</v>
      </c>
      <c r="G53" s="13" t="str">
        <f>"00688067"</f>
        <v>00688067</v>
      </c>
      <c r="H53" s="14">
        <v>170</v>
      </c>
      <c r="I53" s="13" t="s">
        <v>28</v>
      </c>
      <c r="J53" s="14">
        <v>94292.6</v>
      </c>
      <c r="K53" s="13" t="s">
        <v>26</v>
      </c>
      <c r="L53" s="13">
        <v>5428</v>
      </c>
      <c r="M53" s="13" t="str">
        <f>""</f>
        <v/>
      </c>
      <c r="O53" s="13">
        <v>1</v>
      </c>
    </row>
    <row r="54" spans="1:18" s="13" customFormat="1" hidden="1" x14ac:dyDescent="0.25">
      <c r="A54" s="13">
        <v>8003879954</v>
      </c>
      <c r="B54" s="13">
        <v>2</v>
      </c>
      <c r="C54" s="13">
        <v>17112017</v>
      </c>
      <c r="D54" s="13">
        <v>123</v>
      </c>
      <c r="E54" s="13" t="str">
        <f>"2D LOCAL CHQ"</f>
        <v>2D LOCAL CHQ</v>
      </c>
      <c r="F54" s="13">
        <v>2007</v>
      </c>
      <c r="G54" s="13" t="str">
        <f>"01516629"</f>
        <v>01516629</v>
      </c>
      <c r="H54" s="14">
        <v>5000</v>
      </c>
      <c r="I54" s="13" t="s">
        <v>26</v>
      </c>
      <c r="J54" s="14">
        <v>94462.6</v>
      </c>
      <c r="K54" s="13" t="s">
        <v>26</v>
      </c>
      <c r="L54" s="13">
        <v>190725</v>
      </c>
      <c r="M54" s="13" t="str">
        <f>""</f>
        <v/>
      </c>
      <c r="O54" s="13">
        <v>1</v>
      </c>
    </row>
    <row r="55" spans="1:18" s="13" customFormat="1" hidden="1" x14ac:dyDescent="0.25">
      <c r="A55" s="13">
        <v>8003879954</v>
      </c>
      <c r="B55" s="13">
        <v>1</v>
      </c>
      <c r="C55" s="13">
        <v>17112017</v>
      </c>
      <c r="D55" s="13">
        <v>540</v>
      </c>
      <c r="E55" s="13" t="str">
        <f>"ATM OPEN TRANSFER FROM SA"</f>
        <v>ATM OPEN TRANSFER FROM SA</v>
      </c>
      <c r="F55" s="13">
        <v>1408</v>
      </c>
      <c r="G55" s="13" t="str">
        <f>"FSVD1114"</f>
        <v>FSVD1114</v>
      </c>
      <c r="H55" s="14">
        <v>37.25</v>
      </c>
      <c r="I55" s="13" t="s">
        <v>26</v>
      </c>
      <c r="J55" s="14">
        <v>89462.6</v>
      </c>
      <c r="K55" s="13" t="s">
        <v>26</v>
      </c>
      <c r="L55" s="13">
        <v>133556</v>
      </c>
      <c r="M55" s="13" t="str">
        <f>""</f>
        <v/>
      </c>
      <c r="O55" s="13">
        <v>1</v>
      </c>
    </row>
    <row r="56" spans="1:18" s="13" customFormat="1" x14ac:dyDescent="0.25">
      <c r="A56" s="13">
        <v>8003879954</v>
      </c>
      <c r="B56" s="13">
        <v>7</v>
      </c>
      <c r="C56" s="13">
        <v>13112017</v>
      </c>
      <c r="D56" s="13">
        <v>299</v>
      </c>
      <c r="E56" s="13" t="str">
        <f>"GST"</f>
        <v>GST</v>
      </c>
      <c r="H56" s="14">
        <v>0.03</v>
      </c>
      <c r="I56" s="13" t="s">
        <v>28</v>
      </c>
      <c r="J56" s="14">
        <v>89425.35</v>
      </c>
      <c r="K56" s="13" t="s">
        <v>26</v>
      </c>
      <c r="L56" s="13">
        <v>10028</v>
      </c>
      <c r="M56" s="13" t="str">
        <f>""</f>
        <v/>
      </c>
      <c r="O56" s="13">
        <v>1</v>
      </c>
    </row>
    <row r="57" spans="1:18" s="13" customFormat="1" hidden="1" x14ac:dyDescent="0.25">
      <c r="A57" s="13">
        <v>8003879954</v>
      </c>
      <c r="B57" s="13">
        <v>6</v>
      </c>
      <c r="C57" s="13">
        <v>13112017</v>
      </c>
      <c r="D57" s="13">
        <v>819</v>
      </c>
      <c r="E57" s="13" t="str">
        <f>"CHQ PROCESSING FEE"</f>
        <v>CHQ PROCESSING FEE</v>
      </c>
      <c r="H57" s="14">
        <v>0.5</v>
      </c>
      <c r="I57" s="13" t="s">
        <v>28</v>
      </c>
      <c r="J57" s="14">
        <v>89425.38</v>
      </c>
      <c r="K57" s="13" t="s">
        <v>26</v>
      </c>
      <c r="L57" s="13">
        <v>10028</v>
      </c>
      <c r="M57" s="13" t="str">
        <f>""</f>
        <v/>
      </c>
      <c r="O57" s="13">
        <v>1</v>
      </c>
    </row>
    <row r="58" spans="1:18" s="13" customFormat="1" hidden="1" x14ac:dyDescent="0.25">
      <c r="A58" s="13">
        <v>8003879954</v>
      </c>
      <c r="B58" s="13">
        <v>5</v>
      </c>
      <c r="C58" s="13">
        <v>13112017</v>
      </c>
      <c r="D58" s="13">
        <v>323</v>
      </c>
      <c r="E58" s="13" t="str">
        <f>"CLRG CHQ DR"</f>
        <v>CLRG CHQ DR</v>
      </c>
      <c r="F58" s="13">
        <v>0</v>
      </c>
      <c r="G58" s="13" t="str">
        <f>"00688054"</f>
        <v>00688054</v>
      </c>
      <c r="H58" s="14">
        <v>107349.8</v>
      </c>
      <c r="I58" s="13" t="s">
        <v>28</v>
      </c>
      <c r="J58" s="14">
        <v>89425.88</v>
      </c>
      <c r="K58" s="13" t="s">
        <v>26</v>
      </c>
      <c r="L58" s="13">
        <v>5845</v>
      </c>
      <c r="M58" s="13" t="str">
        <f>""</f>
        <v/>
      </c>
      <c r="O58" s="13">
        <v>1</v>
      </c>
    </row>
    <row r="59" spans="1:18" s="13" customFormat="1" hidden="1" x14ac:dyDescent="0.25">
      <c r="A59" s="13">
        <v>8003879954</v>
      </c>
      <c r="B59" s="13">
        <v>4</v>
      </c>
      <c r="C59" s="13">
        <v>13112017</v>
      </c>
      <c r="D59" s="13">
        <v>341</v>
      </c>
      <c r="E59" s="13" t="str">
        <f>"TR IBG"</f>
        <v>TR IBG</v>
      </c>
      <c r="F59" s="13">
        <v>9938</v>
      </c>
      <c r="G59" s="13" t="str">
        <f>"22976765"</f>
        <v>22976765</v>
      </c>
      <c r="H59" s="14">
        <v>742</v>
      </c>
      <c r="I59" s="13" t="s">
        <v>28</v>
      </c>
      <c r="J59" s="14">
        <v>196775.67999999999</v>
      </c>
      <c r="K59" s="13" t="s">
        <v>26</v>
      </c>
      <c r="L59" s="13">
        <v>160650</v>
      </c>
      <c r="M59" s="13" t="str">
        <f>"PRICEWATERHOUSE COOP"</f>
        <v>PRICEWATERHOUSE COOP</v>
      </c>
      <c r="O59" s="13">
        <v>1</v>
      </c>
      <c r="P59" s="13" t="str">
        <f>"PGTEFT2749"</f>
        <v>PGTEFT2749</v>
      </c>
      <c r="Q59" s="13" t="str">
        <f>"PEN37280565"</f>
        <v>PEN37280565</v>
      </c>
    </row>
    <row r="60" spans="1:18" s="13" customFormat="1" x14ac:dyDescent="0.25">
      <c r="A60" s="13">
        <v>8003879954</v>
      </c>
      <c r="B60" s="13">
        <v>3</v>
      </c>
      <c r="C60" s="13">
        <v>13112017</v>
      </c>
      <c r="D60" s="13">
        <v>299</v>
      </c>
      <c r="E60" s="13" t="str">
        <f>"GST"</f>
        <v>GST</v>
      </c>
      <c r="F60" s="13">
        <v>9938</v>
      </c>
      <c r="G60" s="13" t="str">
        <f>"22976765"</f>
        <v>22976765</v>
      </c>
      <c r="H60" s="14">
        <v>0.01</v>
      </c>
      <c r="I60" s="13" t="s">
        <v>28</v>
      </c>
      <c r="J60" s="14">
        <v>197517.68</v>
      </c>
      <c r="K60" s="13" t="s">
        <v>26</v>
      </c>
      <c r="L60" s="13">
        <v>160650</v>
      </c>
      <c r="M60" s="13" t="str">
        <f>"PGTEFT2749          PEN37280565"</f>
        <v>PGTEFT2749          PEN37280565</v>
      </c>
      <c r="O60" s="13">
        <v>1</v>
      </c>
    </row>
    <row r="61" spans="1:18" s="13" customFormat="1" hidden="1" x14ac:dyDescent="0.25">
      <c r="A61" s="13">
        <v>8003879954</v>
      </c>
      <c r="B61" s="13">
        <v>2</v>
      </c>
      <c r="C61" s="13">
        <v>13112017</v>
      </c>
      <c r="D61" s="13">
        <v>489</v>
      </c>
      <c r="E61" s="13" t="str">
        <f>"OTHER TRANSFER FEE"</f>
        <v>OTHER TRANSFER FEE</v>
      </c>
      <c r="F61" s="13">
        <v>9938</v>
      </c>
      <c r="G61" s="13" t="str">
        <f>"22976765"</f>
        <v>22976765</v>
      </c>
      <c r="H61" s="14">
        <v>0.1</v>
      </c>
      <c r="I61" s="13" t="s">
        <v>28</v>
      </c>
      <c r="J61" s="14">
        <v>197517.69</v>
      </c>
      <c r="K61" s="13" t="s">
        <v>26</v>
      </c>
      <c r="L61" s="13">
        <v>160650</v>
      </c>
      <c r="M61" s="13" t="str">
        <f>"PGTEFT2749          PEN37280565"</f>
        <v>PGTEFT2749          PEN37280565</v>
      </c>
      <c r="O61" s="13">
        <v>1</v>
      </c>
    </row>
    <row r="62" spans="1:18" s="13" customFormat="1" hidden="1" x14ac:dyDescent="0.25">
      <c r="A62" s="13">
        <v>8003879954</v>
      </c>
      <c r="B62" s="13">
        <v>1</v>
      </c>
      <c r="C62" s="13">
        <v>13112017</v>
      </c>
      <c r="D62" s="13">
        <v>5</v>
      </c>
      <c r="E62" s="13" t="str">
        <f>"REMITTANCE CR"</f>
        <v>REMITTANCE CR</v>
      </c>
      <c r="H62" s="14">
        <v>80000</v>
      </c>
      <c r="I62" s="13" t="s">
        <v>26</v>
      </c>
      <c r="J62" s="14">
        <v>197517.79</v>
      </c>
      <c r="K62" s="13" t="s">
        <v>26</v>
      </c>
      <c r="L62" s="13">
        <v>153850</v>
      </c>
      <c r="M62" s="13" t="str">
        <f>"/ROC/KLMP0023955RES RHB ASSET MANAGEMENT"</f>
        <v>/ROC/KLMP0023955RES RHB ASSET MANAGEMENT</v>
      </c>
      <c r="O62" s="13">
        <v>1</v>
      </c>
      <c r="P62" s="13" t="str">
        <f>"KLMP0023955"</f>
        <v>KLMP0023955</v>
      </c>
      <c r="Q62" s="13" t="str">
        <f>"RESIDENT"</f>
        <v>RESIDENT</v>
      </c>
      <c r="R62" s="13" t="str">
        <f>"RHB ASSET MANAGEMENT"</f>
        <v>RHB ASSET MANAGEMENT</v>
      </c>
    </row>
    <row r="63" spans="1:18" s="13" customFormat="1" x14ac:dyDescent="0.25">
      <c r="A63" s="13">
        <v>8003879954</v>
      </c>
      <c r="B63" s="13">
        <v>6</v>
      </c>
      <c r="C63" s="13">
        <v>10112017</v>
      </c>
      <c r="D63" s="13">
        <v>299</v>
      </c>
      <c r="E63" s="13" t="str">
        <f>"GST"</f>
        <v>GST</v>
      </c>
      <c r="H63" s="14">
        <v>0.03</v>
      </c>
      <c r="I63" s="13" t="s">
        <v>28</v>
      </c>
      <c r="J63" s="14">
        <v>117517.79</v>
      </c>
      <c r="K63" s="13" t="s">
        <v>26</v>
      </c>
      <c r="L63" s="13">
        <v>5834</v>
      </c>
      <c r="M63" s="13" t="str">
        <f>""</f>
        <v/>
      </c>
      <c r="O63" s="13">
        <v>1</v>
      </c>
    </row>
    <row r="64" spans="1:18" s="13" customFormat="1" hidden="1" x14ac:dyDescent="0.25">
      <c r="A64" s="13">
        <v>8003879954</v>
      </c>
      <c r="B64" s="13">
        <v>5</v>
      </c>
      <c r="C64" s="13">
        <v>10112017</v>
      </c>
      <c r="D64" s="13">
        <v>819</v>
      </c>
      <c r="E64" s="13" t="str">
        <f>"CHQ PROCESSING FEE"</f>
        <v>CHQ PROCESSING FEE</v>
      </c>
      <c r="H64" s="14">
        <v>0.5</v>
      </c>
      <c r="I64" s="13" t="s">
        <v>28</v>
      </c>
      <c r="J64" s="14">
        <v>117517.82</v>
      </c>
      <c r="K64" s="13" t="s">
        <v>26</v>
      </c>
      <c r="L64" s="13">
        <v>5834</v>
      </c>
      <c r="M64" s="13" t="str">
        <f>""</f>
        <v/>
      </c>
      <c r="O64" s="13">
        <v>1</v>
      </c>
    </row>
    <row r="65" spans="1:15" s="13" customFormat="1" x14ac:dyDescent="0.25">
      <c r="A65" s="13">
        <v>8003879954</v>
      </c>
      <c r="B65" s="13">
        <v>4</v>
      </c>
      <c r="C65" s="13">
        <v>10112017</v>
      </c>
      <c r="D65" s="13">
        <v>299</v>
      </c>
      <c r="E65" s="13" t="str">
        <f>"GST"</f>
        <v>GST</v>
      </c>
      <c r="H65" s="14">
        <v>0.03</v>
      </c>
      <c r="I65" s="13" t="s">
        <v>28</v>
      </c>
      <c r="J65" s="14">
        <v>117518.32</v>
      </c>
      <c r="K65" s="13" t="s">
        <v>26</v>
      </c>
      <c r="L65" s="13">
        <v>5834</v>
      </c>
      <c r="M65" s="13" t="str">
        <f>""</f>
        <v/>
      </c>
      <c r="O65" s="13">
        <v>1</v>
      </c>
    </row>
    <row r="66" spans="1:15" s="13" customFormat="1" hidden="1" x14ac:dyDescent="0.25">
      <c r="A66" s="13">
        <v>8003879954</v>
      </c>
      <c r="B66" s="13">
        <v>3</v>
      </c>
      <c r="C66" s="13">
        <v>10112017</v>
      </c>
      <c r="D66" s="13">
        <v>819</v>
      </c>
      <c r="E66" s="13" t="str">
        <f>"CHQ PROCESSING FEE"</f>
        <v>CHQ PROCESSING FEE</v>
      </c>
      <c r="H66" s="14">
        <v>0.5</v>
      </c>
      <c r="I66" s="13" t="s">
        <v>28</v>
      </c>
      <c r="J66" s="14">
        <v>117518.35</v>
      </c>
      <c r="K66" s="13" t="s">
        <v>26</v>
      </c>
      <c r="L66" s="13">
        <v>5834</v>
      </c>
      <c r="M66" s="13" t="str">
        <f>""</f>
        <v/>
      </c>
      <c r="O66" s="13">
        <v>1</v>
      </c>
    </row>
    <row r="67" spans="1:15" s="13" customFormat="1" hidden="1" x14ac:dyDescent="0.25">
      <c r="A67" s="13">
        <v>8003879954</v>
      </c>
      <c r="B67" s="13">
        <v>2</v>
      </c>
      <c r="C67" s="13">
        <v>10112017</v>
      </c>
      <c r="D67" s="13">
        <v>321</v>
      </c>
      <c r="E67" s="13" t="str">
        <f>"HOUSE CHQ DR"</f>
        <v>HOUSE CHQ DR</v>
      </c>
      <c r="F67" s="13">
        <v>0</v>
      </c>
      <c r="G67" s="13" t="str">
        <f>"00688060"</f>
        <v>00688060</v>
      </c>
      <c r="H67" s="14">
        <v>11117.83</v>
      </c>
      <c r="I67" s="13" t="s">
        <v>28</v>
      </c>
      <c r="J67" s="14">
        <v>117518.85</v>
      </c>
      <c r="K67" s="13" t="s">
        <v>26</v>
      </c>
      <c r="L67" s="13">
        <v>5712</v>
      </c>
      <c r="M67" s="13" t="str">
        <f>""</f>
        <v/>
      </c>
      <c r="O67" s="13">
        <v>1</v>
      </c>
    </row>
    <row r="68" spans="1:15" s="13" customFormat="1" hidden="1" x14ac:dyDescent="0.25">
      <c r="A68" s="13">
        <v>8003879954</v>
      </c>
      <c r="B68" s="13">
        <v>1</v>
      </c>
      <c r="C68" s="13">
        <v>10112017</v>
      </c>
      <c r="D68" s="13">
        <v>323</v>
      </c>
      <c r="E68" s="13" t="str">
        <f>"CLRG CHQ DR"</f>
        <v>CLRG CHQ DR</v>
      </c>
      <c r="F68" s="13">
        <v>0</v>
      </c>
      <c r="G68" s="13" t="str">
        <f>"00688058"</f>
        <v>00688058</v>
      </c>
      <c r="H68" s="14">
        <v>1493.2</v>
      </c>
      <c r="I68" s="13" t="s">
        <v>28</v>
      </c>
      <c r="J68" s="14">
        <v>128636.68</v>
      </c>
      <c r="K68" s="13" t="s">
        <v>26</v>
      </c>
      <c r="L68" s="13">
        <v>5712</v>
      </c>
      <c r="M68" s="13" t="str">
        <f>""</f>
        <v/>
      </c>
      <c r="O68" s="13">
        <v>1</v>
      </c>
    </row>
    <row r="69" spans="1:15" s="13" customFormat="1" x14ac:dyDescent="0.25">
      <c r="A69" s="13">
        <v>8003879954</v>
      </c>
      <c r="B69" s="13">
        <v>7</v>
      </c>
      <c r="C69" s="13">
        <v>9112017</v>
      </c>
      <c r="D69" s="13">
        <v>299</v>
      </c>
      <c r="E69" s="13" t="str">
        <f>"GST"</f>
        <v>GST</v>
      </c>
      <c r="H69" s="14">
        <v>0.06</v>
      </c>
      <c r="I69" s="13" t="s">
        <v>28</v>
      </c>
      <c r="J69" s="14">
        <v>130129.88</v>
      </c>
      <c r="K69" s="7" t="s">
        <v>26</v>
      </c>
      <c r="L69" s="13">
        <v>5720</v>
      </c>
      <c r="M69" s="13" t="str">
        <f>""</f>
        <v/>
      </c>
      <c r="O69" s="13">
        <v>1</v>
      </c>
    </row>
    <row r="70" spans="1:15" s="13" customFormat="1" hidden="1" x14ac:dyDescent="0.25">
      <c r="A70" s="13">
        <v>8003879954</v>
      </c>
      <c r="B70" s="13">
        <v>6</v>
      </c>
      <c r="C70" s="13">
        <v>9112017</v>
      </c>
      <c r="D70" s="13">
        <v>819</v>
      </c>
      <c r="E70" s="13" t="str">
        <f>"CHQ PROCESSING FEE"</f>
        <v>CHQ PROCESSING FEE</v>
      </c>
      <c r="H70" s="14">
        <v>1</v>
      </c>
      <c r="I70" s="13" t="s">
        <v>28</v>
      </c>
      <c r="J70" s="14">
        <v>130129.94</v>
      </c>
      <c r="K70" s="13" t="s">
        <v>26</v>
      </c>
      <c r="L70" s="13">
        <v>5720</v>
      </c>
      <c r="M70" s="13" t="str">
        <f>""</f>
        <v/>
      </c>
      <c r="O70" s="13">
        <v>1</v>
      </c>
    </row>
    <row r="71" spans="1:15" s="13" customFormat="1" x14ac:dyDescent="0.25">
      <c r="A71" s="13">
        <v>8003879954</v>
      </c>
      <c r="B71" s="13">
        <v>5</v>
      </c>
      <c r="C71" s="13">
        <v>9112017</v>
      </c>
      <c r="D71" s="13">
        <v>299</v>
      </c>
      <c r="E71" s="13" t="str">
        <f>"GST"</f>
        <v>GST</v>
      </c>
      <c r="H71" s="14">
        <v>0.03</v>
      </c>
      <c r="I71" s="13" t="s">
        <v>28</v>
      </c>
      <c r="J71" s="14">
        <v>130130.94</v>
      </c>
      <c r="K71" s="13" t="s">
        <v>26</v>
      </c>
      <c r="L71" s="13">
        <v>5720</v>
      </c>
      <c r="M71" s="13" t="str">
        <f>""</f>
        <v/>
      </c>
      <c r="O71" s="13">
        <v>1</v>
      </c>
    </row>
    <row r="72" spans="1:15" s="13" customFormat="1" hidden="1" x14ac:dyDescent="0.25">
      <c r="A72" s="13">
        <v>8003879954</v>
      </c>
      <c r="B72" s="13">
        <v>4</v>
      </c>
      <c r="C72" s="13">
        <v>9112017</v>
      </c>
      <c r="D72" s="13">
        <v>819</v>
      </c>
      <c r="E72" s="13" t="str">
        <f>"CHQ PROCESSING FEE"</f>
        <v>CHQ PROCESSING FEE</v>
      </c>
      <c r="H72" s="14">
        <v>0.5</v>
      </c>
      <c r="I72" s="13" t="s">
        <v>28</v>
      </c>
      <c r="J72" s="14">
        <v>130130.97</v>
      </c>
      <c r="K72" s="13" t="s">
        <v>26</v>
      </c>
      <c r="L72" s="13">
        <v>5720</v>
      </c>
      <c r="M72" s="13" t="str">
        <f>""</f>
        <v/>
      </c>
      <c r="O72" s="13">
        <v>1</v>
      </c>
    </row>
    <row r="73" spans="1:15" s="13" customFormat="1" hidden="1" x14ac:dyDescent="0.25">
      <c r="A73" s="13">
        <v>8003879954</v>
      </c>
      <c r="B73" s="13">
        <v>3</v>
      </c>
      <c r="C73" s="13">
        <v>9112017</v>
      </c>
      <c r="D73" s="13">
        <v>321</v>
      </c>
      <c r="E73" s="13" t="str">
        <f>"HOUSE CHQ DR"</f>
        <v>HOUSE CHQ DR</v>
      </c>
      <c r="F73" s="13">
        <v>0</v>
      </c>
      <c r="G73" s="13" t="str">
        <f>"00688069"</f>
        <v>00688069</v>
      </c>
      <c r="H73" s="14">
        <v>501.65</v>
      </c>
      <c r="I73" s="13" t="s">
        <v>28</v>
      </c>
      <c r="J73" s="14">
        <v>130131.47</v>
      </c>
      <c r="K73" s="13" t="s">
        <v>26</v>
      </c>
      <c r="L73" s="13">
        <v>5528</v>
      </c>
      <c r="M73" s="13" t="str">
        <f>""</f>
        <v/>
      </c>
      <c r="O73" s="13">
        <v>1</v>
      </c>
    </row>
    <row r="74" spans="1:15" s="13" customFormat="1" hidden="1" x14ac:dyDescent="0.25">
      <c r="A74" s="13">
        <v>8003879954</v>
      </c>
      <c r="B74" s="13">
        <v>2</v>
      </c>
      <c r="C74" s="13">
        <v>9112017</v>
      </c>
      <c r="D74" s="13">
        <v>321</v>
      </c>
      <c r="E74" s="13" t="str">
        <f>"HOUSE CHQ DR"</f>
        <v>HOUSE CHQ DR</v>
      </c>
      <c r="F74" s="13">
        <v>0</v>
      </c>
      <c r="G74" s="13" t="str">
        <f>"00688068"</f>
        <v>00688068</v>
      </c>
      <c r="H74" s="14">
        <v>893.25</v>
      </c>
      <c r="I74" s="13" t="s">
        <v>28</v>
      </c>
      <c r="J74" s="14">
        <v>130633.12</v>
      </c>
      <c r="K74" s="13" t="s">
        <v>26</v>
      </c>
      <c r="L74" s="13">
        <v>5528</v>
      </c>
      <c r="M74" s="13" t="str">
        <f>""</f>
        <v/>
      </c>
      <c r="O74" s="13">
        <v>1</v>
      </c>
    </row>
    <row r="75" spans="1:15" s="13" customFormat="1" hidden="1" x14ac:dyDescent="0.25">
      <c r="A75" s="13">
        <v>8003879954</v>
      </c>
      <c r="B75" s="13">
        <v>1</v>
      </c>
      <c r="C75" s="13">
        <v>9112017</v>
      </c>
      <c r="D75" s="13">
        <v>323</v>
      </c>
      <c r="E75" s="13" t="str">
        <f>"CLRG CHQ DR"</f>
        <v>CLRG CHQ DR</v>
      </c>
      <c r="F75" s="13">
        <v>0</v>
      </c>
      <c r="G75" s="13" t="str">
        <f>"00688057"</f>
        <v>00688057</v>
      </c>
      <c r="H75" s="14">
        <v>21121</v>
      </c>
      <c r="I75" s="13" t="s">
        <v>28</v>
      </c>
      <c r="J75" s="14">
        <v>131526.37</v>
      </c>
      <c r="K75" s="13" t="s">
        <v>26</v>
      </c>
      <c r="L75" s="13">
        <v>5528</v>
      </c>
      <c r="M75" s="13" t="str">
        <f>""</f>
        <v/>
      </c>
      <c r="O75" s="13">
        <v>1</v>
      </c>
    </row>
    <row r="76" spans="1:15" s="13" customFormat="1" x14ac:dyDescent="0.25">
      <c r="A76" s="13">
        <v>8003879954</v>
      </c>
      <c r="B76" s="13">
        <v>6</v>
      </c>
      <c r="C76" s="13">
        <v>8112017</v>
      </c>
      <c r="D76" s="13">
        <v>299</v>
      </c>
      <c r="E76" s="13" t="str">
        <f>"GST"</f>
        <v>GST</v>
      </c>
      <c r="H76" s="14">
        <v>0.03</v>
      </c>
      <c r="I76" s="13" t="s">
        <v>28</v>
      </c>
      <c r="J76" s="14">
        <v>152647.37</v>
      </c>
      <c r="K76" s="13" t="s">
        <v>26</v>
      </c>
      <c r="L76" s="13">
        <v>5324</v>
      </c>
      <c r="M76" s="13" t="str">
        <f>""</f>
        <v/>
      </c>
      <c r="O76" s="13">
        <v>1</v>
      </c>
    </row>
    <row r="77" spans="1:15" s="13" customFormat="1" hidden="1" x14ac:dyDescent="0.25">
      <c r="A77" s="13">
        <v>8003879954</v>
      </c>
      <c r="B77" s="13">
        <v>5</v>
      </c>
      <c r="C77" s="13">
        <v>8112017</v>
      </c>
      <c r="D77" s="13">
        <v>819</v>
      </c>
      <c r="E77" s="13" t="str">
        <f>"CHQ PROCESSING FEE"</f>
        <v>CHQ PROCESSING FEE</v>
      </c>
      <c r="H77" s="14">
        <v>0.5</v>
      </c>
      <c r="I77" s="13" t="s">
        <v>28</v>
      </c>
      <c r="J77" s="14">
        <v>152647.4</v>
      </c>
      <c r="K77" s="13" t="s">
        <v>26</v>
      </c>
      <c r="L77" s="13">
        <v>5324</v>
      </c>
      <c r="M77" s="13" t="str">
        <f>""</f>
        <v/>
      </c>
      <c r="O77" s="13">
        <v>1</v>
      </c>
    </row>
    <row r="78" spans="1:15" s="13" customFormat="1" x14ac:dyDescent="0.25">
      <c r="A78" s="13">
        <v>8003879954</v>
      </c>
      <c r="B78" s="13">
        <v>4</v>
      </c>
      <c r="C78" s="13">
        <v>8112017</v>
      </c>
      <c r="D78" s="13">
        <v>299</v>
      </c>
      <c r="E78" s="13" t="str">
        <f>"GST"</f>
        <v>GST</v>
      </c>
      <c r="H78" s="14">
        <v>0.03</v>
      </c>
      <c r="I78" s="13" t="s">
        <v>28</v>
      </c>
      <c r="J78" s="14">
        <v>152647.9</v>
      </c>
      <c r="K78" s="13" t="s">
        <v>26</v>
      </c>
      <c r="L78" s="13">
        <v>5324</v>
      </c>
      <c r="M78" s="13" t="str">
        <f>""</f>
        <v/>
      </c>
      <c r="O78" s="13">
        <v>1</v>
      </c>
    </row>
    <row r="79" spans="1:15" s="13" customFormat="1" hidden="1" x14ac:dyDescent="0.25">
      <c r="A79" s="13">
        <v>8003879954</v>
      </c>
      <c r="B79" s="13">
        <v>3</v>
      </c>
      <c r="C79" s="13">
        <v>8112017</v>
      </c>
      <c r="D79" s="13">
        <v>819</v>
      </c>
      <c r="E79" s="13" t="str">
        <f>"CHQ PROCESSING FEE"</f>
        <v>CHQ PROCESSING FEE</v>
      </c>
      <c r="H79" s="14">
        <v>0.5</v>
      </c>
      <c r="I79" s="13" t="s">
        <v>28</v>
      </c>
      <c r="J79" s="14">
        <v>152647.93</v>
      </c>
      <c r="K79" s="13" t="s">
        <v>26</v>
      </c>
      <c r="L79" s="13">
        <v>5324</v>
      </c>
      <c r="M79" s="13" t="str">
        <f>""</f>
        <v/>
      </c>
      <c r="O79" s="13">
        <v>1</v>
      </c>
    </row>
    <row r="80" spans="1:15" s="13" customFormat="1" hidden="1" x14ac:dyDescent="0.25">
      <c r="A80" s="13">
        <v>8003879954</v>
      </c>
      <c r="B80" s="13">
        <v>2</v>
      </c>
      <c r="C80" s="13">
        <v>8112017</v>
      </c>
      <c r="D80" s="13">
        <v>323</v>
      </c>
      <c r="E80" s="13" t="str">
        <f>"CLRG CHQ DR"</f>
        <v>CLRG CHQ DR</v>
      </c>
      <c r="F80" s="13">
        <v>0</v>
      </c>
      <c r="G80" s="13" t="str">
        <f>"00688066"</f>
        <v>00688066</v>
      </c>
      <c r="H80" s="14">
        <v>10667.84</v>
      </c>
      <c r="I80" s="13" t="s">
        <v>28</v>
      </c>
      <c r="J80" s="14">
        <v>152648.43</v>
      </c>
      <c r="K80" s="13" t="s">
        <v>26</v>
      </c>
      <c r="L80" s="13">
        <v>5235</v>
      </c>
      <c r="M80" s="13" t="str">
        <f>""</f>
        <v/>
      </c>
      <c r="O80" s="13">
        <v>1</v>
      </c>
    </row>
    <row r="81" spans="1:18" s="13" customFormat="1" hidden="1" x14ac:dyDescent="0.25">
      <c r="A81" s="13">
        <v>8003879954</v>
      </c>
      <c r="B81" s="13">
        <v>1</v>
      </c>
      <c r="C81" s="13">
        <v>8112017</v>
      </c>
      <c r="D81" s="13">
        <v>321</v>
      </c>
      <c r="E81" s="13" t="str">
        <f>"HOUSE CHQ DR"</f>
        <v>HOUSE CHQ DR</v>
      </c>
      <c r="F81" s="13">
        <v>0</v>
      </c>
      <c r="G81" s="13" t="str">
        <f>"00688061"</f>
        <v>00688061</v>
      </c>
      <c r="H81" s="14">
        <v>4774.95</v>
      </c>
      <c r="I81" s="13" t="s">
        <v>28</v>
      </c>
      <c r="J81" s="14">
        <v>163316.26999999999</v>
      </c>
      <c r="K81" s="13" t="s">
        <v>26</v>
      </c>
      <c r="L81" s="13">
        <v>5235</v>
      </c>
      <c r="M81" s="13" t="str">
        <f>""</f>
        <v/>
      </c>
      <c r="O81" s="13">
        <v>1</v>
      </c>
    </row>
    <row r="82" spans="1:18" s="13" customFormat="1" hidden="1" x14ac:dyDescent="0.25">
      <c r="A82" s="13">
        <v>8003879954</v>
      </c>
      <c r="B82" s="13">
        <v>2</v>
      </c>
      <c r="C82" s="13">
        <v>7112017</v>
      </c>
      <c r="D82" s="13">
        <v>121</v>
      </c>
      <c r="E82" s="13" t="str">
        <f>"HSE CHQ DEPOSIT"</f>
        <v>HSE CHQ DEPOSIT</v>
      </c>
      <c r="F82" s="13">
        <v>2007</v>
      </c>
      <c r="G82" s="13" t="str">
        <f>"00038835"</f>
        <v>00038835</v>
      </c>
      <c r="H82" s="14">
        <v>3000</v>
      </c>
      <c r="I82" s="13" t="s">
        <v>26</v>
      </c>
      <c r="J82" s="14">
        <v>168091.22</v>
      </c>
      <c r="K82" s="13" t="s">
        <v>26</v>
      </c>
      <c r="L82" s="13">
        <v>191429</v>
      </c>
      <c r="M82" s="13" t="str">
        <f>""</f>
        <v/>
      </c>
      <c r="O82" s="13">
        <v>1</v>
      </c>
    </row>
    <row r="83" spans="1:18" s="13" customFormat="1" hidden="1" x14ac:dyDescent="0.25">
      <c r="A83" s="13">
        <v>8003879954</v>
      </c>
      <c r="B83" s="13">
        <v>1</v>
      </c>
      <c r="C83" s="13">
        <v>7112017</v>
      </c>
      <c r="D83" s="13">
        <v>143</v>
      </c>
      <c r="E83" s="13" t="str">
        <f>"TR FROM CA"</f>
        <v>TR FROM CA</v>
      </c>
      <c r="F83" s="13">
        <v>9938</v>
      </c>
      <c r="G83" s="13" t="str">
        <f>"22779928"</f>
        <v>22779928</v>
      </c>
      <c r="H83" s="14">
        <v>500</v>
      </c>
      <c r="I83" s="13" t="s">
        <v>26</v>
      </c>
      <c r="J83" s="14">
        <v>165091.22</v>
      </c>
      <c r="K83" s="13" t="s">
        <v>26</v>
      </c>
      <c r="L83" s="13">
        <v>165651</v>
      </c>
      <c r="M83" s="13" t="str">
        <f>"MEMBERSHIP FEE 2017"</f>
        <v>MEMBERSHIP FEE 2017</v>
      </c>
      <c r="O83" s="13">
        <v>1</v>
      </c>
      <c r="P83" s="13" t="str">
        <f>"MEMBERSHIP FEE 2017"</f>
        <v>MEMBERSHIP FEE 2017</v>
      </c>
      <c r="Q83" s="13" t="str">
        <f>"MEMBERSHIP FEE 2017"</f>
        <v>MEMBERSHIP FEE 2017</v>
      </c>
      <c r="R83" s="13" t="str">
        <f>"GPEX CENTRAL SDN BHD"</f>
        <v>GPEX CENTRAL SDN BHD</v>
      </c>
    </row>
    <row r="84" spans="1:18" s="13" customFormat="1" x14ac:dyDescent="0.25">
      <c r="A84" s="13">
        <v>8003879954</v>
      </c>
      <c r="B84" s="13">
        <v>74</v>
      </c>
      <c r="C84" s="13">
        <v>3112017</v>
      </c>
      <c r="D84" s="13">
        <v>299</v>
      </c>
      <c r="E84" s="13" t="str">
        <f>"GST"</f>
        <v>GST</v>
      </c>
      <c r="H84" s="14">
        <v>0.03</v>
      </c>
      <c r="I84" s="13" t="s">
        <v>28</v>
      </c>
      <c r="J84" s="14">
        <v>164591.22</v>
      </c>
      <c r="K84" s="13" t="s">
        <v>26</v>
      </c>
      <c r="L84" s="13">
        <v>14342</v>
      </c>
      <c r="M84" s="13" t="str">
        <f>""</f>
        <v/>
      </c>
      <c r="O84" s="13">
        <v>1</v>
      </c>
    </row>
    <row r="85" spans="1:18" s="13" customFormat="1" hidden="1" x14ac:dyDescent="0.25">
      <c r="A85" s="13">
        <v>8003879954</v>
      </c>
      <c r="B85" s="13">
        <v>73</v>
      </c>
      <c r="C85" s="13">
        <v>3112017</v>
      </c>
      <c r="D85" s="13">
        <v>819</v>
      </c>
      <c r="E85" s="13" t="str">
        <f>"CHQ PROCESSING FEE"</f>
        <v>CHQ PROCESSING FEE</v>
      </c>
      <c r="H85" s="14">
        <v>0.5</v>
      </c>
      <c r="I85" s="13" t="s">
        <v>28</v>
      </c>
      <c r="J85" s="14">
        <v>164591.25</v>
      </c>
      <c r="K85" s="13" t="s">
        <v>26</v>
      </c>
      <c r="L85" s="13">
        <v>14342</v>
      </c>
      <c r="M85" s="13" t="str">
        <f>""</f>
        <v/>
      </c>
      <c r="O85" s="13">
        <v>1</v>
      </c>
    </row>
    <row r="86" spans="1:18" s="13" customFormat="1" x14ac:dyDescent="0.25">
      <c r="A86" s="13">
        <v>8003879954</v>
      </c>
      <c r="B86" s="13">
        <v>72</v>
      </c>
      <c r="C86" s="13">
        <v>3112017</v>
      </c>
      <c r="D86" s="13">
        <v>299</v>
      </c>
      <c r="E86" s="13" t="str">
        <f>"GST"</f>
        <v>GST</v>
      </c>
      <c r="H86" s="14">
        <v>0.09</v>
      </c>
      <c r="I86" s="13" t="s">
        <v>28</v>
      </c>
      <c r="J86" s="14">
        <v>164591.75</v>
      </c>
      <c r="K86" s="13" t="s">
        <v>26</v>
      </c>
      <c r="L86" s="13">
        <v>14342</v>
      </c>
      <c r="M86" s="13" t="str">
        <f>""</f>
        <v/>
      </c>
      <c r="O86" s="13">
        <v>1</v>
      </c>
    </row>
    <row r="87" spans="1:18" s="13" customFormat="1" hidden="1" x14ac:dyDescent="0.25">
      <c r="A87" s="13">
        <v>8003879954</v>
      </c>
      <c r="B87" s="13">
        <v>71</v>
      </c>
      <c r="C87" s="13">
        <v>3112017</v>
      </c>
      <c r="D87" s="13">
        <v>819</v>
      </c>
      <c r="E87" s="13" t="str">
        <f>"CHQ PROCESSING FEE"</f>
        <v>CHQ PROCESSING FEE</v>
      </c>
      <c r="H87" s="14">
        <v>1.5</v>
      </c>
      <c r="I87" s="13" t="s">
        <v>28</v>
      </c>
      <c r="J87" s="14">
        <v>164591.84</v>
      </c>
      <c r="K87" s="13" t="s">
        <v>26</v>
      </c>
      <c r="L87" s="13">
        <v>14342</v>
      </c>
      <c r="M87" s="13" t="str">
        <f>""</f>
        <v/>
      </c>
      <c r="O87" s="13">
        <v>1</v>
      </c>
    </row>
    <row r="88" spans="1:18" s="13" customFormat="1" hidden="1" x14ac:dyDescent="0.25">
      <c r="A88" s="13">
        <v>8003879954</v>
      </c>
      <c r="B88" s="13">
        <v>70</v>
      </c>
      <c r="C88" s="13">
        <v>3112017</v>
      </c>
      <c r="D88" s="13">
        <v>321</v>
      </c>
      <c r="E88" s="13" t="str">
        <f>"HOUSE CHQ DR"</f>
        <v>HOUSE CHQ DR</v>
      </c>
      <c r="F88" s="13">
        <v>0</v>
      </c>
      <c r="G88" s="13" t="str">
        <f>"00688065"</f>
        <v>00688065</v>
      </c>
      <c r="H88" s="14">
        <v>39856</v>
      </c>
      <c r="I88" s="13" t="s">
        <v>28</v>
      </c>
      <c r="J88" s="14">
        <v>164593.34</v>
      </c>
      <c r="K88" s="13" t="s">
        <v>26</v>
      </c>
      <c r="L88" s="13">
        <v>14244</v>
      </c>
      <c r="M88" s="13" t="str">
        <f>""</f>
        <v/>
      </c>
      <c r="O88" s="13">
        <v>1</v>
      </c>
    </row>
    <row r="89" spans="1:18" s="13" customFormat="1" hidden="1" x14ac:dyDescent="0.25">
      <c r="A89" s="13">
        <v>8003879954</v>
      </c>
      <c r="B89" s="13">
        <v>69</v>
      </c>
      <c r="C89" s="13">
        <v>3112017</v>
      </c>
      <c r="D89" s="13">
        <v>323</v>
      </c>
      <c r="E89" s="13" t="str">
        <f>"CLRG CHQ DR"</f>
        <v>CLRG CHQ DR</v>
      </c>
      <c r="F89" s="13">
        <v>0</v>
      </c>
      <c r="G89" s="13" t="str">
        <f>"00688064"</f>
        <v>00688064</v>
      </c>
      <c r="H89" s="14">
        <v>11904.57</v>
      </c>
      <c r="I89" s="13" t="s">
        <v>28</v>
      </c>
      <c r="J89" s="14">
        <v>204449.34</v>
      </c>
      <c r="K89" s="13" t="s">
        <v>26</v>
      </c>
      <c r="L89" s="13">
        <v>14244</v>
      </c>
      <c r="M89" s="13" t="str">
        <f>""</f>
        <v/>
      </c>
      <c r="O89" s="13">
        <v>1</v>
      </c>
    </row>
    <row r="90" spans="1:18" s="13" customFormat="1" hidden="1" x14ac:dyDescent="0.25">
      <c r="A90" s="13">
        <v>8003879954</v>
      </c>
      <c r="B90" s="13">
        <v>68</v>
      </c>
      <c r="C90" s="13">
        <v>3112017</v>
      </c>
      <c r="D90" s="13">
        <v>323</v>
      </c>
      <c r="E90" s="13" t="str">
        <f>"CLRG CHQ DR"</f>
        <v>CLRG CHQ DR</v>
      </c>
      <c r="F90" s="13">
        <v>0</v>
      </c>
      <c r="G90" s="13" t="str">
        <f>"00688063"</f>
        <v>00688063</v>
      </c>
      <c r="H90" s="14">
        <v>38160</v>
      </c>
      <c r="I90" s="13" t="s">
        <v>28</v>
      </c>
      <c r="J90" s="14">
        <v>216353.91</v>
      </c>
      <c r="K90" s="13" t="s">
        <v>26</v>
      </c>
      <c r="L90" s="13">
        <v>14244</v>
      </c>
      <c r="M90" s="13" t="str">
        <f>""</f>
        <v/>
      </c>
      <c r="O90" s="13">
        <v>1</v>
      </c>
    </row>
    <row r="91" spans="1:18" s="13" customFormat="1" hidden="1" x14ac:dyDescent="0.25">
      <c r="A91" s="13">
        <v>8003879954</v>
      </c>
      <c r="B91" s="13">
        <v>67</v>
      </c>
      <c r="C91" s="13">
        <v>3112017</v>
      </c>
      <c r="D91" s="13">
        <v>323</v>
      </c>
      <c r="E91" s="13" t="str">
        <f>"CLRG CHQ DR"</f>
        <v>CLRG CHQ DR</v>
      </c>
      <c r="F91" s="13">
        <v>0</v>
      </c>
      <c r="G91" s="13" t="str">
        <f>"00688062"</f>
        <v>00688062</v>
      </c>
      <c r="H91" s="14">
        <v>10600</v>
      </c>
      <c r="I91" s="13" t="s">
        <v>28</v>
      </c>
      <c r="J91" s="14">
        <v>254513.91</v>
      </c>
      <c r="K91" s="13" t="s">
        <v>26</v>
      </c>
      <c r="L91" s="13">
        <v>14244</v>
      </c>
      <c r="M91" s="13" t="str">
        <f>""</f>
        <v/>
      </c>
      <c r="O91" s="13">
        <v>1</v>
      </c>
    </row>
    <row r="92" spans="1:18" s="13" customFormat="1" hidden="1" x14ac:dyDescent="0.25">
      <c r="A92" s="13">
        <v>8003879954</v>
      </c>
      <c r="B92" s="13">
        <v>66</v>
      </c>
      <c r="C92" s="13">
        <v>3112017</v>
      </c>
      <c r="D92" s="13">
        <v>341</v>
      </c>
      <c r="E92" s="13" t="str">
        <f>"TR IBG"</f>
        <v>TR IBG</v>
      </c>
      <c r="F92" s="13">
        <v>9938</v>
      </c>
      <c r="G92" s="13" t="str">
        <f>"22628041"</f>
        <v>22628041</v>
      </c>
      <c r="H92" s="14">
        <v>2500</v>
      </c>
      <c r="I92" s="13" t="s">
        <v>28</v>
      </c>
      <c r="J92" s="14">
        <v>265113.90999999997</v>
      </c>
      <c r="K92" s="13" t="s">
        <v>26</v>
      </c>
      <c r="L92" s="13">
        <v>192706</v>
      </c>
      <c r="M92" s="13" t="str">
        <f>"OON KOK EU"</f>
        <v>OON KOK EU</v>
      </c>
      <c r="O92" s="13">
        <v>1</v>
      </c>
      <c r="P92" s="13" t="str">
        <f>"PGTEFT2748"</f>
        <v>PGTEFT2748</v>
      </c>
      <c r="Q92" s="13" t="str">
        <f>"BROCHURE DISTRIBUTIO"</f>
        <v>BROCHURE DISTRIBUTIO</v>
      </c>
    </row>
    <row r="93" spans="1:18" s="13" customFormat="1" x14ac:dyDescent="0.25">
      <c r="A93" s="13">
        <v>8003879954</v>
      </c>
      <c r="B93" s="13">
        <v>65</v>
      </c>
      <c r="C93" s="13">
        <v>3112017</v>
      </c>
      <c r="D93" s="13">
        <v>299</v>
      </c>
      <c r="E93" s="13" t="str">
        <f>"GST"</f>
        <v>GST</v>
      </c>
      <c r="F93" s="13">
        <v>9938</v>
      </c>
      <c r="G93" s="13" t="str">
        <f>"22628041"</f>
        <v>22628041</v>
      </c>
      <c r="H93" s="14">
        <v>0.01</v>
      </c>
      <c r="I93" s="13" t="s">
        <v>28</v>
      </c>
      <c r="J93" s="14">
        <v>267613.90999999997</v>
      </c>
      <c r="K93" s="13" t="s">
        <v>26</v>
      </c>
      <c r="L93" s="13">
        <v>192706</v>
      </c>
      <c r="M93" s="13" t="str">
        <f>"PGTEFT2748          BROCHURE DISTRIBUTIO"</f>
        <v>PGTEFT2748          BROCHURE DISTRIBUTIO</v>
      </c>
      <c r="O93" s="13">
        <v>1</v>
      </c>
    </row>
    <row r="94" spans="1:18" s="13" customFormat="1" hidden="1" x14ac:dyDescent="0.25">
      <c r="A94" s="13">
        <v>8003879954</v>
      </c>
      <c r="B94" s="13">
        <v>64</v>
      </c>
      <c r="C94" s="13">
        <v>3112017</v>
      </c>
      <c r="D94" s="13">
        <v>489</v>
      </c>
      <c r="E94" s="13" t="str">
        <f>"OTHER TRANSFER FEE"</f>
        <v>OTHER TRANSFER FEE</v>
      </c>
      <c r="F94" s="13">
        <v>9938</v>
      </c>
      <c r="G94" s="13" t="str">
        <f>"22628041"</f>
        <v>22628041</v>
      </c>
      <c r="H94" s="14">
        <v>0.1</v>
      </c>
      <c r="I94" s="13" t="s">
        <v>28</v>
      </c>
      <c r="J94" s="14">
        <v>267613.92</v>
      </c>
      <c r="K94" s="13" t="s">
        <v>26</v>
      </c>
      <c r="L94" s="13">
        <v>192706</v>
      </c>
      <c r="M94" s="13" t="str">
        <f>"PGTEFT2748          BROCHURE DISTRIBUTIO"</f>
        <v>PGTEFT2748          BROCHURE DISTRIBUTIO</v>
      </c>
      <c r="O94" s="13">
        <v>1</v>
      </c>
    </row>
    <row r="95" spans="1:18" s="13" customFormat="1" hidden="1" x14ac:dyDescent="0.25">
      <c r="A95" s="13">
        <v>8003879954</v>
      </c>
      <c r="B95" s="13">
        <v>63</v>
      </c>
      <c r="C95" s="13">
        <v>3112017</v>
      </c>
      <c r="D95" s="13">
        <v>341</v>
      </c>
      <c r="E95" s="13" t="str">
        <f>"TR IBG"</f>
        <v>TR IBG</v>
      </c>
      <c r="F95" s="13">
        <v>9938</v>
      </c>
      <c r="G95" s="13" t="str">
        <f>"22628072"</f>
        <v>22628072</v>
      </c>
      <c r="H95" s="14">
        <v>634.94000000000005</v>
      </c>
      <c r="I95" s="13" t="s">
        <v>28</v>
      </c>
      <c r="J95" s="14">
        <v>267614.02</v>
      </c>
      <c r="K95" s="13" t="s">
        <v>26</v>
      </c>
      <c r="L95" s="13">
        <v>192702</v>
      </c>
      <c r="M95" s="13" t="str">
        <f>"EXABYTES NETWORKS SD"</f>
        <v>EXABYTES NETWORKS SD</v>
      </c>
      <c r="O95" s="13">
        <v>1</v>
      </c>
      <c r="P95" s="13" t="str">
        <f>"PGTEFT2747"</f>
        <v>PGTEFT2747</v>
      </c>
      <c r="Q95" s="13" t="str">
        <f>"INV8655095"</f>
        <v>INV8655095</v>
      </c>
    </row>
    <row r="96" spans="1:18" s="13" customFormat="1" x14ac:dyDescent="0.25">
      <c r="A96" s="13">
        <v>8003879954</v>
      </c>
      <c r="B96" s="13">
        <v>62</v>
      </c>
      <c r="C96" s="13">
        <v>3112017</v>
      </c>
      <c r="D96" s="13">
        <v>299</v>
      </c>
      <c r="E96" s="13" t="str">
        <f>"GST"</f>
        <v>GST</v>
      </c>
      <c r="F96" s="13">
        <v>9938</v>
      </c>
      <c r="G96" s="13" t="str">
        <f>"22628072"</f>
        <v>22628072</v>
      </c>
      <c r="H96" s="14">
        <v>0.01</v>
      </c>
      <c r="I96" s="13" t="s">
        <v>28</v>
      </c>
      <c r="J96" s="14">
        <v>268248.96000000002</v>
      </c>
      <c r="K96" s="13" t="s">
        <v>26</v>
      </c>
      <c r="L96" s="13">
        <v>192702</v>
      </c>
      <c r="M96" s="13" t="str">
        <f>"PGTEFT2747          INV8655095"</f>
        <v>PGTEFT2747          INV8655095</v>
      </c>
      <c r="O96" s="13">
        <v>1</v>
      </c>
    </row>
    <row r="97" spans="1:17" s="13" customFormat="1" hidden="1" x14ac:dyDescent="0.25">
      <c r="A97" s="13">
        <v>8003879954</v>
      </c>
      <c r="B97" s="13">
        <v>61</v>
      </c>
      <c r="C97" s="13">
        <v>3112017</v>
      </c>
      <c r="D97" s="13">
        <v>489</v>
      </c>
      <c r="E97" s="13" t="str">
        <f>"OTHER TRANSFER FEE"</f>
        <v>OTHER TRANSFER FEE</v>
      </c>
      <c r="F97" s="13">
        <v>9938</v>
      </c>
      <c r="G97" s="13" t="str">
        <f>"22628072"</f>
        <v>22628072</v>
      </c>
      <c r="H97" s="14">
        <v>0.1</v>
      </c>
      <c r="I97" s="13" t="s">
        <v>28</v>
      </c>
      <c r="J97" s="14">
        <v>268248.96999999997</v>
      </c>
      <c r="K97" s="13" t="s">
        <v>26</v>
      </c>
      <c r="L97" s="13">
        <v>192702</v>
      </c>
      <c r="M97" s="13" t="str">
        <f>"PGTEFT2747          INV8655095"</f>
        <v>PGTEFT2747          INV8655095</v>
      </c>
      <c r="O97" s="13">
        <v>1</v>
      </c>
    </row>
    <row r="98" spans="1:17" s="13" customFormat="1" hidden="1" x14ac:dyDescent="0.25">
      <c r="A98" s="13">
        <v>8003879954</v>
      </c>
      <c r="B98" s="13">
        <v>60</v>
      </c>
      <c r="C98" s="13">
        <v>3112017</v>
      </c>
      <c r="D98" s="13">
        <v>341</v>
      </c>
      <c r="E98" s="13" t="str">
        <f>"TR IBG"</f>
        <v>TR IBG</v>
      </c>
      <c r="F98" s="13">
        <v>9938</v>
      </c>
      <c r="G98" s="13" t="str">
        <f>"22628103"</f>
        <v>22628103</v>
      </c>
      <c r="H98" s="14">
        <v>4770</v>
      </c>
      <c r="I98" s="13" t="s">
        <v>28</v>
      </c>
      <c r="J98" s="14">
        <v>268249.07</v>
      </c>
      <c r="K98" s="13" t="s">
        <v>26</v>
      </c>
      <c r="L98" s="13">
        <v>192703</v>
      </c>
      <c r="M98" s="13" t="str">
        <f>"BOLD INSPIRATION SDN"</f>
        <v>BOLD INSPIRATION SDN</v>
      </c>
      <c r="O98" s="13">
        <v>1</v>
      </c>
      <c r="P98" s="13" t="str">
        <f>"PGTEFT2746"</f>
        <v>PGTEFT2746</v>
      </c>
      <c r="Q98" s="13" t="str">
        <f>"JN0391"</f>
        <v>JN0391</v>
      </c>
    </row>
    <row r="99" spans="1:17" s="13" customFormat="1" x14ac:dyDescent="0.25">
      <c r="A99" s="13">
        <v>8003879954</v>
      </c>
      <c r="B99" s="13">
        <v>59</v>
      </c>
      <c r="C99" s="13">
        <v>3112017</v>
      </c>
      <c r="D99" s="13">
        <v>299</v>
      </c>
      <c r="E99" s="13" t="str">
        <f>"GST"</f>
        <v>GST</v>
      </c>
      <c r="F99" s="13">
        <v>9938</v>
      </c>
      <c r="G99" s="13" t="str">
        <f>"22628103"</f>
        <v>22628103</v>
      </c>
      <c r="H99" s="14">
        <v>0.01</v>
      </c>
      <c r="I99" s="13" t="s">
        <v>28</v>
      </c>
      <c r="J99" s="14">
        <v>273019.07</v>
      </c>
      <c r="K99" s="13" t="s">
        <v>26</v>
      </c>
      <c r="L99" s="13">
        <v>192703</v>
      </c>
      <c r="M99" s="13" t="str">
        <f>"PGTEFT2746          JN0391"</f>
        <v>PGTEFT2746          JN0391</v>
      </c>
      <c r="O99" s="13">
        <v>1</v>
      </c>
    </row>
    <row r="100" spans="1:17" s="13" customFormat="1" hidden="1" x14ac:dyDescent="0.25">
      <c r="A100" s="13">
        <v>8003879954</v>
      </c>
      <c r="B100" s="13">
        <v>58</v>
      </c>
      <c r="C100" s="13">
        <v>3112017</v>
      </c>
      <c r="D100" s="13">
        <v>489</v>
      </c>
      <c r="E100" s="13" t="str">
        <f>"OTHER TRANSFER FEE"</f>
        <v>OTHER TRANSFER FEE</v>
      </c>
      <c r="F100" s="13">
        <v>9938</v>
      </c>
      <c r="G100" s="13" t="str">
        <f>"22628103"</f>
        <v>22628103</v>
      </c>
      <c r="H100" s="14">
        <v>0.1</v>
      </c>
      <c r="I100" s="13" t="s">
        <v>28</v>
      </c>
      <c r="J100" s="14">
        <v>273019.08</v>
      </c>
      <c r="K100" s="13" t="s">
        <v>26</v>
      </c>
      <c r="L100" s="13">
        <v>192703</v>
      </c>
      <c r="M100" s="13" t="str">
        <f>"PGTEFT2746          JN0391"</f>
        <v>PGTEFT2746          JN0391</v>
      </c>
      <c r="O100" s="13">
        <v>1</v>
      </c>
    </row>
    <row r="101" spans="1:17" s="13" customFormat="1" hidden="1" x14ac:dyDescent="0.25">
      <c r="A101" s="13">
        <v>8003879954</v>
      </c>
      <c r="B101" s="13">
        <v>57</v>
      </c>
      <c r="C101" s="13">
        <v>3112017</v>
      </c>
      <c r="D101" s="13">
        <v>341</v>
      </c>
      <c r="E101" s="13" t="str">
        <f>"TR IBG"</f>
        <v>TR IBG</v>
      </c>
      <c r="F101" s="13">
        <v>9938</v>
      </c>
      <c r="G101" s="13" t="str">
        <f>"22628456"</f>
        <v>22628456</v>
      </c>
      <c r="H101" s="14">
        <v>3021</v>
      </c>
      <c r="I101" s="13" t="s">
        <v>28</v>
      </c>
      <c r="J101" s="14">
        <v>273019.18</v>
      </c>
      <c r="K101" s="13" t="s">
        <v>26</v>
      </c>
      <c r="L101" s="13">
        <v>192703</v>
      </c>
      <c r="M101" s="13" t="str">
        <f>"VCREATE SDN BHD"</f>
        <v>VCREATE SDN BHD</v>
      </c>
      <c r="O101" s="13">
        <v>1</v>
      </c>
      <c r="P101" s="13" t="str">
        <f>"PGTEFT2744"</f>
        <v>PGTEFT2744</v>
      </c>
      <c r="Q101" s="13" t="str">
        <f>"11049-17 11050-17"</f>
        <v>11049-17 11050-17</v>
      </c>
    </row>
    <row r="102" spans="1:17" s="13" customFormat="1" x14ac:dyDescent="0.25">
      <c r="A102" s="13">
        <v>8003879954</v>
      </c>
      <c r="B102" s="13">
        <v>56</v>
      </c>
      <c r="C102" s="13">
        <v>3112017</v>
      </c>
      <c r="D102" s="13">
        <v>299</v>
      </c>
      <c r="E102" s="13" t="str">
        <f>"GST"</f>
        <v>GST</v>
      </c>
      <c r="F102" s="13">
        <v>9938</v>
      </c>
      <c r="G102" s="13" t="str">
        <f>"22628456"</f>
        <v>22628456</v>
      </c>
      <c r="H102" s="14">
        <v>0.01</v>
      </c>
      <c r="I102" s="13" t="s">
        <v>28</v>
      </c>
      <c r="J102" s="14">
        <v>276040.18</v>
      </c>
      <c r="K102" s="13" t="s">
        <v>26</v>
      </c>
      <c r="L102" s="13">
        <v>192703</v>
      </c>
      <c r="M102" s="13" t="str">
        <f>"PGTEFT2744          11049-17 11050-17"</f>
        <v>PGTEFT2744          11049-17 11050-17</v>
      </c>
      <c r="O102" s="13">
        <v>1</v>
      </c>
    </row>
    <row r="103" spans="1:17" s="13" customFormat="1" hidden="1" x14ac:dyDescent="0.25">
      <c r="A103" s="13">
        <v>8003879954</v>
      </c>
      <c r="B103" s="13">
        <v>55</v>
      </c>
      <c r="C103" s="13">
        <v>3112017</v>
      </c>
      <c r="D103" s="13">
        <v>489</v>
      </c>
      <c r="E103" s="13" t="str">
        <f>"OTHER TRANSFER FEE"</f>
        <v>OTHER TRANSFER FEE</v>
      </c>
      <c r="F103" s="13">
        <v>9938</v>
      </c>
      <c r="G103" s="13" t="str">
        <f>"22628456"</f>
        <v>22628456</v>
      </c>
      <c r="H103" s="14">
        <v>0.1</v>
      </c>
      <c r="I103" s="13" t="s">
        <v>28</v>
      </c>
      <c r="J103" s="14">
        <v>276040.19</v>
      </c>
      <c r="K103" s="13" t="s">
        <v>26</v>
      </c>
      <c r="L103" s="13">
        <v>192703</v>
      </c>
      <c r="M103" s="13" t="str">
        <f>"PGTEFT2744          11049-17 11050-17"</f>
        <v>PGTEFT2744          11049-17 11050-17</v>
      </c>
      <c r="O103" s="13">
        <v>1</v>
      </c>
    </row>
    <row r="104" spans="1:17" s="13" customFormat="1" hidden="1" x14ac:dyDescent="0.25">
      <c r="A104" s="13">
        <v>8003879954</v>
      </c>
      <c r="B104" s="13">
        <v>54</v>
      </c>
      <c r="C104" s="13">
        <v>3112017</v>
      </c>
      <c r="D104" s="13">
        <v>341</v>
      </c>
      <c r="E104" s="13" t="str">
        <f>"TR IBG"</f>
        <v>TR IBG</v>
      </c>
      <c r="F104" s="13">
        <v>9938</v>
      </c>
      <c r="G104" s="13" t="str">
        <f>"22628389"</f>
        <v>22628389</v>
      </c>
      <c r="H104" s="14">
        <v>1200</v>
      </c>
      <c r="I104" s="13" t="s">
        <v>28</v>
      </c>
      <c r="J104" s="14">
        <v>276040.28999999998</v>
      </c>
      <c r="K104" s="13" t="s">
        <v>26</v>
      </c>
      <c r="L104" s="13">
        <v>192702</v>
      </c>
      <c r="M104" s="13" t="str">
        <f>"YEE OI LENG"</f>
        <v>YEE OI LENG</v>
      </c>
      <c r="O104" s="13">
        <v>1</v>
      </c>
      <c r="P104" s="13" t="str">
        <f>"PGTEFT2745"</f>
        <v>PGTEFT2745</v>
      </c>
      <c r="Q104" s="13" t="str">
        <f>"INV00010"</f>
        <v>INV00010</v>
      </c>
    </row>
    <row r="105" spans="1:17" s="13" customFormat="1" x14ac:dyDescent="0.25">
      <c r="A105" s="13">
        <v>8003879954</v>
      </c>
      <c r="B105" s="13">
        <v>53</v>
      </c>
      <c r="C105" s="13">
        <v>3112017</v>
      </c>
      <c r="D105" s="13">
        <v>299</v>
      </c>
      <c r="E105" s="13" t="str">
        <f>"GST"</f>
        <v>GST</v>
      </c>
      <c r="F105" s="13">
        <v>9938</v>
      </c>
      <c r="G105" s="13" t="str">
        <f>"22628389"</f>
        <v>22628389</v>
      </c>
      <c r="H105" s="14">
        <v>0.01</v>
      </c>
      <c r="I105" s="13" t="s">
        <v>28</v>
      </c>
      <c r="J105" s="14">
        <v>277240.28999999998</v>
      </c>
      <c r="K105" s="13" t="s">
        <v>26</v>
      </c>
      <c r="L105" s="13">
        <v>192702</v>
      </c>
      <c r="M105" s="13" t="str">
        <f>"PGTEFT2745          INV00010"</f>
        <v>PGTEFT2745          INV00010</v>
      </c>
      <c r="O105" s="13">
        <v>1</v>
      </c>
    </row>
    <row r="106" spans="1:17" s="13" customFormat="1" hidden="1" x14ac:dyDescent="0.25">
      <c r="A106" s="13">
        <v>8003879954</v>
      </c>
      <c r="B106" s="13">
        <v>52</v>
      </c>
      <c r="C106" s="13">
        <v>3112017</v>
      </c>
      <c r="D106" s="13">
        <v>489</v>
      </c>
      <c r="E106" s="13" t="str">
        <f>"OTHER TRANSFER FEE"</f>
        <v>OTHER TRANSFER FEE</v>
      </c>
      <c r="F106" s="13">
        <v>9938</v>
      </c>
      <c r="G106" s="13" t="str">
        <f>"22628389"</f>
        <v>22628389</v>
      </c>
      <c r="H106" s="14">
        <v>0.1</v>
      </c>
      <c r="I106" s="13" t="s">
        <v>28</v>
      </c>
      <c r="J106" s="14">
        <v>277240.3</v>
      </c>
      <c r="K106" s="13" t="s">
        <v>26</v>
      </c>
      <c r="L106" s="13">
        <v>192702</v>
      </c>
      <c r="M106" s="13" t="str">
        <f>"PGTEFT2745          INV00010"</f>
        <v>PGTEFT2745          INV00010</v>
      </c>
      <c r="O106" s="13">
        <v>1</v>
      </c>
    </row>
    <row r="107" spans="1:17" s="13" customFormat="1" hidden="1" x14ac:dyDescent="0.25">
      <c r="A107" s="13">
        <v>8003879954</v>
      </c>
      <c r="B107" s="13">
        <v>51</v>
      </c>
      <c r="C107" s="13">
        <v>3112017</v>
      </c>
      <c r="D107" s="13">
        <v>60</v>
      </c>
      <c r="E107" s="13" t="str">
        <f>"TR TO C/A"</f>
        <v>TR TO C/A</v>
      </c>
      <c r="F107" s="13">
        <v>9938</v>
      </c>
      <c r="G107" s="13" t="str">
        <f>"22628537"</f>
        <v>22628537</v>
      </c>
      <c r="H107" s="14">
        <v>667.8</v>
      </c>
      <c r="I107" s="13" t="s">
        <v>28</v>
      </c>
      <c r="J107" s="14">
        <v>277240.40000000002</v>
      </c>
      <c r="K107" s="13" t="s">
        <v>26</v>
      </c>
      <c r="L107" s="13">
        <v>192702</v>
      </c>
      <c r="M107" s="13" t="str">
        <f>"PCET TSHIRT TEXLINE LINO SDN BH"</f>
        <v>PCET TSHIRT TEXLINE LINO SDN BH</v>
      </c>
      <c r="O107" s="13">
        <v>1</v>
      </c>
      <c r="P107" s="13" t="str">
        <f>"PGTEFT2743"</f>
        <v>PGTEFT2743</v>
      </c>
      <c r="Q107" s="13" t="str">
        <f>"INV1709076"</f>
        <v>INV1709076</v>
      </c>
    </row>
    <row r="108" spans="1:17" s="13" customFormat="1" hidden="1" x14ac:dyDescent="0.25">
      <c r="A108" s="13">
        <v>8003879954</v>
      </c>
      <c r="B108" s="13">
        <v>50</v>
      </c>
      <c r="C108" s="13">
        <v>3112017</v>
      </c>
      <c r="D108" s="13">
        <v>341</v>
      </c>
      <c r="E108" s="13" t="str">
        <f>"TR IBG"</f>
        <v>TR IBG</v>
      </c>
      <c r="F108" s="13">
        <v>9938</v>
      </c>
      <c r="G108" s="13" t="str">
        <f>"22629198"</f>
        <v>22629198</v>
      </c>
      <c r="H108" s="14">
        <v>90</v>
      </c>
      <c r="I108" s="13" t="s">
        <v>28</v>
      </c>
      <c r="J108" s="14">
        <v>277908.2</v>
      </c>
      <c r="K108" s="13" t="s">
        <v>26</v>
      </c>
      <c r="L108" s="13">
        <v>192346</v>
      </c>
      <c r="M108" s="13" t="str">
        <f>"LIM WOOI HONG"</f>
        <v>LIM WOOI HONG</v>
      </c>
      <c r="O108" s="13">
        <v>1</v>
      </c>
      <c r="P108" s="13" t="str">
        <f>"PGTEFT2734"</f>
        <v>PGTEFT2734</v>
      </c>
      <c r="Q108" s="13" t="str">
        <f>"INV0002"</f>
        <v>INV0002</v>
      </c>
    </row>
    <row r="109" spans="1:17" s="13" customFormat="1" x14ac:dyDescent="0.25">
      <c r="A109" s="13">
        <v>8003879954</v>
      </c>
      <c r="B109" s="13">
        <v>49</v>
      </c>
      <c r="C109" s="13">
        <v>3112017</v>
      </c>
      <c r="D109" s="13">
        <v>299</v>
      </c>
      <c r="E109" s="13" t="str">
        <f>"GST"</f>
        <v>GST</v>
      </c>
      <c r="F109" s="13">
        <v>9938</v>
      </c>
      <c r="G109" s="13" t="str">
        <f>"22629198"</f>
        <v>22629198</v>
      </c>
      <c r="H109" s="14">
        <v>0.01</v>
      </c>
      <c r="I109" s="13" t="s">
        <v>28</v>
      </c>
      <c r="J109" s="14">
        <v>277998.2</v>
      </c>
      <c r="K109" s="13" t="s">
        <v>26</v>
      </c>
      <c r="L109" s="13">
        <v>192346</v>
      </c>
      <c r="M109" s="13" t="str">
        <f>"PGTEFT2734          INV0002"</f>
        <v>PGTEFT2734          INV0002</v>
      </c>
      <c r="O109" s="13">
        <v>1</v>
      </c>
    </row>
    <row r="110" spans="1:17" s="13" customFormat="1" hidden="1" x14ac:dyDescent="0.25">
      <c r="A110" s="13">
        <v>8003879954</v>
      </c>
      <c r="B110" s="13">
        <v>48</v>
      </c>
      <c r="C110" s="13">
        <v>3112017</v>
      </c>
      <c r="D110" s="13">
        <v>489</v>
      </c>
      <c r="E110" s="13" t="str">
        <f>"OTHER TRANSFER FEE"</f>
        <v>OTHER TRANSFER FEE</v>
      </c>
      <c r="F110" s="13">
        <v>9938</v>
      </c>
      <c r="G110" s="13" t="str">
        <f>"22629198"</f>
        <v>22629198</v>
      </c>
      <c r="H110" s="14">
        <v>0.1</v>
      </c>
      <c r="I110" s="13" t="s">
        <v>28</v>
      </c>
      <c r="J110" s="14">
        <v>277998.21000000002</v>
      </c>
      <c r="K110" s="13" t="s">
        <v>26</v>
      </c>
      <c r="L110" s="13">
        <v>192346</v>
      </c>
      <c r="M110" s="13" t="str">
        <f>"PGTEFT2734          INV0002"</f>
        <v>PGTEFT2734          INV0002</v>
      </c>
      <c r="O110" s="13">
        <v>1</v>
      </c>
    </row>
    <row r="111" spans="1:17" s="13" customFormat="1" hidden="1" x14ac:dyDescent="0.25">
      <c r="A111" s="13">
        <v>8003879954</v>
      </c>
      <c r="B111" s="13">
        <v>47</v>
      </c>
      <c r="C111" s="13">
        <v>3112017</v>
      </c>
      <c r="D111" s="13">
        <v>60</v>
      </c>
      <c r="E111" s="13" t="str">
        <f>"TR TO C/A"</f>
        <v>TR TO C/A</v>
      </c>
      <c r="F111" s="13">
        <v>9938</v>
      </c>
      <c r="G111" s="13" t="str">
        <f>"22628954"</f>
        <v>22628954</v>
      </c>
      <c r="H111" s="14">
        <v>3092.35</v>
      </c>
      <c r="I111" s="13" t="s">
        <v>28</v>
      </c>
      <c r="J111" s="14">
        <v>277998.31</v>
      </c>
      <c r="K111" s="13" t="s">
        <v>26</v>
      </c>
      <c r="L111" s="13">
        <v>192345</v>
      </c>
      <c r="M111" s="13" t="str">
        <f>"YES HCM MARY ANN HARRIS"</f>
        <v>YES HCM MARY ANN HARRIS</v>
      </c>
      <c r="O111" s="13">
        <v>1</v>
      </c>
      <c r="P111" s="13" t="str">
        <f>"PGTEFT2736"</f>
        <v>PGTEFT2736</v>
      </c>
      <c r="Q111" s="13" t="str">
        <f>"PCET CLAIMS"</f>
        <v>PCET CLAIMS</v>
      </c>
    </row>
    <row r="112" spans="1:17" s="13" customFormat="1" hidden="1" x14ac:dyDescent="0.25">
      <c r="A112" s="13">
        <v>8003879954</v>
      </c>
      <c r="B112" s="13">
        <v>46</v>
      </c>
      <c r="C112" s="13">
        <v>3112017</v>
      </c>
      <c r="D112" s="13">
        <v>341</v>
      </c>
      <c r="E112" s="13" t="str">
        <f>"TR IBG"</f>
        <v>TR IBG</v>
      </c>
      <c r="F112" s="13">
        <v>9938</v>
      </c>
      <c r="G112" s="13" t="str">
        <f>"22629262"</f>
        <v>22629262</v>
      </c>
      <c r="H112" s="14">
        <v>90</v>
      </c>
      <c r="I112" s="13" t="s">
        <v>28</v>
      </c>
      <c r="J112" s="14">
        <v>281090.65999999997</v>
      </c>
      <c r="K112" s="13" t="s">
        <v>26</v>
      </c>
      <c r="L112" s="13">
        <v>192341</v>
      </c>
      <c r="M112" s="13" t="str">
        <f>"LIANG CHOW MING"</f>
        <v>LIANG CHOW MING</v>
      </c>
      <c r="O112" s="13">
        <v>1</v>
      </c>
      <c r="P112" s="13" t="str">
        <f>"PGTEFT2733"</f>
        <v>PGTEFT2733</v>
      </c>
      <c r="Q112" s="13" t="str">
        <f>"INV19546"</f>
        <v>INV19546</v>
      </c>
    </row>
    <row r="113" spans="1:17" s="13" customFormat="1" x14ac:dyDescent="0.25">
      <c r="A113" s="13">
        <v>8003879954</v>
      </c>
      <c r="B113" s="13">
        <v>45</v>
      </c>
      <c r="C113" s="13">
        <v>3112017</v>
      </c>
      <c r="D113" s="13">
        <v>299</v>
      </c>
      <c r="E113" s="13" t="str">
        <f>"GST"</f>
        <v>GST</v>
      </c>
      <c r="F113" s="13">
        <v>9938</v>
      </c>
      <c r="G113" s="13" t="str">
        <f>"22629262"</f>
        <v>22629262</v>
      </c>
      <c r="H113" s="14">
        <v>0.01</v>
      </c>
      <c r="I113" s="13" t="s">
        <v>28</v>
      </c>
      <c r="J113" s="14">
        <v>281180.65999999997</v>
      </c>
      <c r="K113" s="13" t="s">
        <v>26</v>
      </c>
      <c r="L113" s="13">
        <v>192341</v>
      </c>
      <c r="M113" s="13" t="str">
        <f>"PGTEFT2733          INV19546"</f>
        <v>PGTEFT2733          INV19546</v>
      </c>
      <c r="O113" s="13">
        <v>1</v>
      </c>
    </row>
    <row r="114" spans="1:17" s="13" customFormat="1" hidden="1" x14ac:dyDescent="0.25">
      <c r="A114" s="13">
        <v>8003879954</v>
      </c>
      <c r="B114" s="13">
        <v>44</v>
      </c>
      <c r="C114" s="13">
        <v>3112017</v>
      </c>
      <c r="D114" s="13">
        <v>489</v>
      </c>
      <c r="E114" s="13" t="str">
        <f>"OTHER TRANSFER FEE"</f>
        <v>OTHER TRANSFER FEE</v>
      </c>
      <c r="F114" s="13">
        <v>9938</v>
      </c>
      <c r="G114" s="13" t="str">
        <f>"22629262"</f>
        <v>22629262</v>
      </c>
      <c r="H114" s="14">
        <v>0.1</v>
      </c>
      <c r="I114" s="13" t="s">
        <v>28</v>
      </c>
      <c r="J114" s="14">
        <v>281180.67</v>
      </c>
      <c r="K114" s="13" t="s">
        <v>26</v>
      </c>
      <c r="L114" s="13">
        <v>192341</v>
      </c>
      <c r="M114" s="13" t="str">
        <f>"PGTEFT2733          INV19546"</f>
        <v>PGTEFT2733          INV19546</v>
      </c>
      <c r="O114" s="13">
        <v>1</v>
      </c>
    </row>
    <row r="115" spans="1:17" s="13" customFormat="1" hidden="1" x14ac:dyDescent="0.25">
      <c r="A115" s="13">
        <v>8003879954</v>
      </c>
      <c r="B115" s="13">
        <v>43</v>
      </c>
      <c r="C115" s="13">
        <v>3112017</v>
      </c>
      <c r="D115" s="13">
        <v>341</v>
      </c>
      <c r="E115" s="13" t="str">
        <f>"TR IBG"</f>
        <v>TR IBG</v>
      </c>
      <c r="F115" s="13">
        <v>9938</v>
      </c>
      <c r="G115" s="13" t="str">
        <f>"22629017"</f>
        <v>22629017</v>
      </c>
      <c r="H115" s="14">
        <v>1000</v>
      </c>
      <c r="I115" s="13" t="s">
        <v>28</v>
      </c>
      <c r="J115" s="14">
        <v>281180.77</v>
      </c>
      <c r="K115" s="13" t="s">
        <v>26</v>
      </c>
      <c r="L115" s="13">
        <v>192341</v>
      </c>
      <c r="M115" s="13" t="str">
        <f>"MAJLIS KEBUDAYAAN NE"</f>
        <v>MAJLIS KEBUDAYAAN NE</v>
      </c>
      <c r="O115" s="13">
        <v>1</v>
      </c>
      <c r="P115" s="13" t="str">
        <f>"PGTEFT2735"</f>
        <v>PGTEFT2735</v>
      </c>
      <c r="Q115" s="13" t="str">
        <f>"KKNPP-2017-02-28"</f>
        <v>KKNPP-2017-02-28</v>
      </c>
    </row>
    <row r="116" spans="1:17" s="13" customFormat="1" x14ac:dyDescent="0.25">
      <c r="A116" s="13">
        <v>8003879954</v>
      </c>
      <c r="B116" s="13">
        <v>42</v>
      </c>
      <c r="C116" s="13">
        <v>3112017</v>
      </c>
      <c r="D116" s="13">
        <v>299</v>
      </c>
      <c r="E116" s="13" t="str">
        <f>"GST"</f>
        <v>GST</v>
      </c>
      <c r="F116" s="13">
        <v>9938</v>
      </c>
      <c r="G116" s="13" t="str">
        <f>"22629017"</f>
        <v>22629017</v>
      </c>
      <c r="H116" s="14">
        <v>0.01</v>
      </c>
      <c r="I116" s="13" t="s">
        <v>28</v>
      </c>
      <c r="J116" s="14">
        <v>282180.77</v>
      </c>
      <c r="K116" s="13" t="s">
        <v>26</v>
      </c>
      <c r="L116" s="13">
        <v>192341</v>
      </c>
      <c r="M116" s="13" t="str">
        <f>"PGTEFT2735          KKNPP-2017-02-28"</f>
        <v>PGTEFT2735          KKNPP-2017-02-28</v>
      </c>
      <c r="O116" s="13">
        <v>1</v>
      </c>
    </row>
    <row r="117" spans="1:17" s="13" customFormat="1" hidden="1" x14ac:dyDescent="0.25">
      <c r="A117" s="13">
        <v>8003879954</v>
      </c>
      <c r="B117" s="13">
        <v>41</v>
      </c>
      <c r="C117" s="13">
        <v>3112017</v>
      </c>
      <c r="D117" s="13">
        <v>489</v>
      </c>
      <c r="E117" s="13" t="str">
        <f>"OTHER TRANSFER FEE"</f>
        <v>OTHER TRANSFER FEE</v>
      </c>
      <c r="F117" s="13">
        <v>9938</v>
      </c>
      <c r="G117" s="13" t="str">
        <f>"22629017"</f>
        <v>22629017</v>
      </c>
      <c r="H117" s="14">
        <v>0.1</v>
      </c>
      <c r="I117" s="13" t="s">
        <v>28</v>
      </c>
      <c r="J117" s="14">
        <v>282180.78000000003</v>
      </c>
      <c r="K117" s="13" t="s">
        <v>26</v>
      </c>
      <c r="L117" s="13">
        <v>192341</v>
      </c>
      <c r="M117" s="13" t="str">
        <f>"PGTEFT2735          KKNPP-2017-02-28"</f>
        <v>PGTEFT2735          KKNPP-2017-02-28</v>
      </c>
      <c r="O117" s="13">
        <v>1</v>
      </c>
    </row>
    <row r="118" spans="1:17" s="13" customFormat="1" hidden="1" x14ac:dyDescent="0.25">
      <c r="A118" s="13">
        <v>8003879954</v>
      </c>
      <c r="B118" s="13">
        <v>40</v>
      </c>
      <c r="C118" s="13">
        <v>3112017</v>
      </c>
      <c r="D118" s="13">
        <v>341</v>
      </c>
      <c r="E118" s="13" t="str">
        <f>"TR IBG"</f>
        <v>TR IBG</v>
      </c>
      <c r="F118" s="13">
        <v>9938</v>
      </c>
      <c r="G118" s="13" t="str">
        <f>"22628687"</f>
        <v>22628687</v>
      </c>
      <c r="H118" s="14">
        <v>1250</v>
      </c>
      <c r="I118" s="13" t="s">
        <v>28</v>
      </c>
      <c r="J118" s="14">
        <v>282180.88</v>
      </c>
      <c r="K118" s="13" t="s">
        <v>26</v>
      </c>
      <c r="L118" s="13">
        <v>192344</v>
      </c>
      <c r="M118" s="13" t="str">
        <f>"THUM CHIA CHIEH"</f>
        <v>THUM CHIA CHIEH</v>
      </c>
      <c r="O118" s="13">
        <v>1</v>
      </c>
      <c r="P118" s="13" t="str">
        <f>"PGTEFT2740"</f>
        <v>PGTEFT2740</v>
      </c>
      <c r="Q118" s="13" t="str">
        <f>"PHOTOGRAPHY SERVICE"</f>
        <v>PHOTOGRAPHY SERVICE</v>
      </c>
    </row>
    <row r="119" spans="1:17" s="13" customFormat="1" x14ac:dyDescent="0.25">
      <c r="A119" s="13">
        <v>8003879954</v>
      </c>
      <c r="B119" s="13">
        <v>39</v>
      </c>
      <c r="C119" s="13">
        <v>3112017</v>
      </c>
      <c r="D119" s="13">
        <v>299</v>
      </c>
      <c r="E119" s="13" t="str">
        <f>"GST"</f>
        <v>GST</v>
      </c>
      <c r="F119" s="13">
        <v>9938</v>
      </c>
      <c r="G119" s="13" t="str">
        <f>"22628687"</f>
        <v>22628687</v>
      </c>
      <c r="H119" s="14">
        <v>0.01</v>
      </c>
      <c r="I119" s="13" t="s">
        <v>28</v>
      </c>
      <c r="J119" s="14">
        <v>283430.88</v>
      </c>
      <c r="K119" s="13" t="s">
        <v>26</v>
      </c>
      <c r="L119" s="13">
        <v>192344</v>
      </c>
      <c r="M119" s="13" t="str">
        <f>"PGTEFT2740          PHOTOGRAPHY SERVICE"</f>
        <v>PGTEFT2740          PHOTOGRAPHY SERVICE</v>
      </c>
      <c r="O119" s="13">
        <v>1</v>
      </c>
    </row>
    <row r="120" spans="1:17" s="13" customFormat="1" hidden="1" x14ac:dyDescent="0.25">
      <c r="A120" s="13">
        <v>8003879954</v>
      </c>
      <c r="B120" s="13">
        <v>38</v>
      </c>
      <c r="C120" s="13">
        <v>3112017</v>
      </c>
      <c r="D120" s="13">
        <v>489</v>
      </c>
      <c r="E120" s="13" t="str">
        <f>"OTHER TRANSFER FEE"</f>
        <v>OTHER TRANSFER FEE</v>
      </c>
      <c r="F120" s="13">
        <v>9938</v>
      </c>
      <c r="G120" s="13" t="str">
        <f>"22628687"</f>
        <v>22628687</v>
      </c>
      <c r="H120" s="14">
        <v>0.1</v>
      </c>
      <c r="I120" s="13" t="s">
        <v>28</v>
      </c>
      <c r="J120" s="14">
        <v>283430.89</v>
      </c>
      <c r="K120" s="13" t="s">
        <v>26</v>
      </c>
      <c r="L120" s="13">
        <v>192344</v>
      </c>
      <c r="M120" s="13" t="str">
        <f>"PGTEFT2740          PHOTOGRAPHY SERVICE"</f>
        <v>PGTEFT2740          PHOTOGRAPHY SERVICE</v>
      </c>
      <c r="O120" s="13">
        <v>1</v>
      </c>
    </row>
    <row r="121" spans="1:17" s="13" customFormat="1" hidden="1" x14ac:dyDescent="0.25">
      <c r="A121" s="13">
        <v>8003879954</v>
      </c>
      <c r="B121" s="13">
        <v>37</v>
      </c>
      <c r="C121" s="13">
        <v>3112017</v>
      </c>
      <c r="D121" s="13">
        <v>341</v>
      </c>
      <c r="E121" s="13" t="str">
        <f>"TR IBG"</f>
        <v>TR IBG</v>
      </c>
      <c r="F121" s="13">
        <v>9938</v>
      </c>
      <c r="G121" s="13" t="str">
        <f>"22628857"</f>
        <v>22628857</v>
      </c>
      <c r="H121" s="14">
        <v>4184.88</v>
      </c>
      <c r="I121" s="13" t="s">
        <v>28</v>
      </c>
      <c r="J121" s="14">
        <v>283430.99</v>
      </c>
      <c r="K121" s="13" t="s">
        <v>26</v>
      </c>
      <c r="L121" s="13">
        <v>192344</v>
      </c>
      <c r="M121" s="13" t="str">
        <f>"ROD CREATIVE SDN BHD"</f>
        <v>ROD CREATIVE SDN BHD</v>
      </c>
      <c r="O121" s="13">
        <v>1</v>
      </c>
      <c r="P121" s="13" t="str">
        <f>"PGTEFT2738"</f>
        <v>PGTEFT2738</v>
      </c>
      <c r="Q121" s="13" t="str">
        <f>"INV151700 151701"</f>
        <v>INV151700 151701</v>
      </c>
    </row>
    <row r="122" spans="1:17" s="13" customFormat="1" x14ac:dyDescent="0.25">
      <c r="A122" s="13">
        <v>8003879954</v>
      </c>
      <c r="B122" s="13">
        <v>36</v>
      </c>
      <c r="C122" s="13">
        <v>3112017</v>
      </c>
      <c r="D122" s="13">
        <v>299</v>
      </c>
      <c r="E122" s="13" t="str">
        <f>"GST"</f>
        <v>GST</v>
      </c>
      <c r="F122" s="13">
        <v>9938</v>
      </c>
      <c r="G122" s="13" t="str">
        <f>"22628857"</f>
        <v>22628857</v>
      </c>
      <c r="H122" s="14">
        <v>0.01</v>
      </c>
      <c r="I122" s="13" t="s">
        <v>28</v>
      </c>
      <c r="J122" s="14">
        <v>287615.87</v>
      </c>
      <c r="K122" s="13" t="s">
        <v>26</v>
      </c>
      <c r="L122" s="13">
        <v>192344</v>
      </c>
      <c r="M122" s="13" t="str">
        <f>"PGTEFT2738          INV151700 151701"</f>
        <v>PGTEFT2738          INV151700 151701</v>
      </c>
      <c r="O122" s="13">
        <v>1</v>
      </c>
    </row>
    <row r="123" spans="1:17" s="13" customFormat="1" hidden="1" x14ac:dyDescent="0.25">
      <c r="A123" s="13">
        <v>8003879954</v>
      </c>
      <c r="B123" s="13">
        <v>35</v>
      </c>
      <c r="C123" s="13">
        <v>3112017</v>
      </c>
      <c r="D123" s="13">
        <v>489</v>
      </c>
      <c r="E123" s="13" t="str">
        <f>"OTHER TRANSFER FEE"</f>
        <v>OTHER TRANSFER FEE</v>
      </c>
      <c r="F123" s="13">
        <v>9938</v>
      </c>
      <c r="G123" s="13" t="str">
        <f>"22628857"</f>
        <v>22628857</v>
      </c>
      <c r="H123" s="14">
        <v>0.1</v>
      </c>
      <c r="I123" s="13" t="s">
        <v>28</v>
      </c>
      <c r="J123" s="14">
        <v>287615.88</v>
      </c>
      <c r="K123" s="13" t="s">
        <v>26</v>
      </c>
      <c r="L123" s="13">
        <v>192344</v>
      </c>
      <c r="M123" s="13" t="str">
        <f>"PGTEFT2738          INV151700 151701"</f>
        <v>PGTEFT2738          INV151700 151701</v>
      </c>
      <c r="O123" s="13">
        <v>1</v>
      </c>
    </row>
    <row r="124" spans="1:17" s="13" customFormat="1" hidden="1" x14ac:dyDescent="0.25">
      <c r="A124" s="13">
        <v>8003879954</v>
      </c>
      <c r="B124" s="13">
        <v>34</v>
      </c>
      <c r="C124" s="13">
        <v>3112017</v>
      </c>
      <c r="D124" s="13">
        <v>341</v>
      </c>
      <c r="E124" s="13" t="str">
        <f>"TR IBG"</f>
        <v>TR IBG</v>
      </c>
      <c r="F124" s="13">
        <v>9938</v>
      </c>
      <c r="G124" s="13" t="str">
        <f>"22628731"</f>
        <v>22628731</v>
      </c>
      <c r="H124" s="14">
        <v>2438</v>
      </c>
      <c r="I124" s="13" t="s">
        <v>28</v>
      </c>
      <c r="J124" s="14">
        <v>287615.98</v>
      </c>
      <c r="K124" s="13" t="s">
        <v>26</v>
      </c>
      <c r="L124" s="13">
        <v>192341</v>
      </c>
      <c r="M124" s="13" t="str">
        <f>"SE VENA NETWORKS SDN"</f>
        <v>SE VENA NETWORKS SDN</v>
      </c>
      <c r="O124" s="13">
        <v>1</v>
      </c>
      <c r="P124" s="13" t="str">
        <f>"PGTEFT2739"</f>
        <v>PGTEFT2739</v>
      </c>
      <c r="Q124" s="13" t="str">
        <f>"SN-NC-17-0156"</f>
        <v>SN-NC-17-0156</v>
      </c>
    </row>
    <row r="125" spans="1:17" s="13" customFormat="1" x14ac:dyDescent="0.25">
      <c r="A125" s="13">
        <v>8003879954</v>
      </c>
      <c r="B125" s="13">
        <v>33</v>
      </c>
      <c r="C125" s="13">
        <v>3112017</v>
      </c>
      <c r="D125" s="13">
        <v>299</v>
      </c>
      <c r="E125" s="13" t="str">
        <f>"GST"</f>
        <v>GST</v>
      </c>
      <c r="F125" s="13">
        <v>9938</v>
      </c>
      <c r="G125" s="13" t="str">
        <f>"22628731"</f>
        <v>22628731</v>
      </c>
      <c r="H125" s="14">
        <v>0.01</v>
      </c>
      <c r="I125" s="13" t="s">
        <v>28</v>
      </c>
      <c r="J125" s="14">
        <v>290053.98</v>
      </c>
      <c r="K125" s="13" t="s">
        <v>26</v>
      </c>
      <c r="L125" s="13">
        <v>192341</v>
      </c>
      <c r="M125" s="13" t="str">
        <f>"PGTEFT2739          SN-NC-17-0156"</f>
        <v>PGTEFT2739          SN-NC-17-0156</v>
      </c>
      <c r="O125" s="13">
        <v>1</v>
      </c>
    </row>
    <row r="126" spans="1:17" s="13" customFormat="1" hidden="1" x14ac:dyDescent="0.25">
      <c r="A126" s="13">
        <v>8003879954</v>
      </c>
      <c r="B126" s="13">
        <v>32</v>
      </c>
      <c r="C126" s="13">
        <v>3112017</v>
      </c>
      <c r="D126" s="13">
        <v>489</v>
      </c>
      <c r="E126" s="13" t="str">
        <f>"OTHER TRANSFER FEE"</f>
        <v>OTHER TRANSFER FEE</v>
      </c>
      <c r="F126" s="13">
        <v>9938</v>
      </c>
      <c r="G126" s="13" t="str">
        <f>"22628731"</f>
        <v>22628731</v>
      </c>
      <c r="H126" s="14">
        <v>0.1</v>
      </c>
      <c r="I126" s="13" t="s">
        <v>28</v>
      </c>
      <c r="J126" s="14">
        <v>290053.99</v>
      </c>
      <c r="K126" s="13" t="s">
        <v>26</v>
      </c>
      <c r="L126" s="13">
        <v>192341</v>
      </c>
      <c r="M126" s="13" t="str">
        <f>"PGTEFT2739          SN-NC-17-0156"</f>
        <v>PGTEFT2739          SN-NC-17-0156</v>
      </c>
      <c r="O126" s="13">
        <v>1</v>
      </c>
    </row>
    <row r="127" spans="1:17" s="13" customFormat="1" hidden="1" x14ac:dyDescent="0.25">
      <c r="A127" s="13">
        <v>8003879954</v>
      </c>
      <c r="B127" s="13">
        <v>31</v>
      </c>
      <c r="C127" s="13">
        <v>3112017</v>
      </c>
      <c r="D127" s="13">
        <v>341</v>
      </c>
      <c r="E127" s="13" t="str">
        <f>"TR IBG"</f>
        <v>TR IBG</v>
      </c>
      <c r="F127" s="13">
        <v>9938</v>
      </c>
      <c r="G127" s="13" t="str">
        <f>"22628887"</f>
        <v>22628887</v>
      </c>
      <c r="H127" s="14">
        <v>1000</v>
      </c>
      <c r="I127" s="13" t="s">
        <v>28</v>
      </c>
      <c r="J127" s="14">
        <v>290054.09000000003</v>
      </c>
      <c r="K127" s="13" t="s">
        <v>26</v>
      </c>
      <c r="L127" s="13">
        <v>192341</v>
      </c>
      <c r="M127" s="13" t="str">
        <f>"NORIZEIGHT VENTURES"</f>
        <v>NORIZEIGHT VENTURES</v>
      </c>
      <c r="O127" s="13">
        <v>1</v>
      </c>
      <c r="P127" s="13" t="str">
        <f>"PGTEFT2737"</f>
        <v>PGTEFT2737</v>
      </c>
      <c r="Q127" s="13" t="str">
        <f>"NV2287"</f>
        <v>NV2287</v>
      </c>
    </row>
    <row r="128" spans="1:17" s="13" customFormat="1" x14ac:dyDescent="0.25">
      <c r="A128" s="13">
        <v>8003879954</v>
      </c>
      <c r="B128" s="13">
        <v>30</v>
      </c>
      <c r="C128" s="13">
        <v>3112017</v>
      </c>
      <c r="D128" s="13">
        <v>299</v>
      </c>
      <c r="E128" s="13" t="str">
        <f>"GST"</f>
        <v>GST</v>
      </c>
      <c r="F128" s="13">
        <v>9938</v>
      </c>
      <c r="G128" s="13" t="str">
        <f>"22628887"</f>
        <v>22628887</v>
      </c>
      <c r="H128" s="14">
        <v>0.01</v>
      </c>
      <c r="I128" s="13" t="s">
        <v>28</v>
      </c>
      <c r="J128" s="14">
        <v>291054.09000000003</v>
      </c>
      <c r="K128" s="13" t="s">
        <v>26</v>
      </c>
      <c r="L128" s="13">
        <v>192341</v>
      </c>
      <c r="M128" s="13" t="str">
        <f>"PGTEFT2737          NV2287"</f>
        <v>PGTEFT2737          NV2287</v>
      </c>
      <c r="O128" s="13">
        <v>1</v>
      </c>
    </row>
    <row r="129" spans="1:17" s="13" customFormat="1" hidden="1" x14ac:dyDescent="0.25">
      <c r="A129" s="13">
        <v>8003879954</v>
      </c>
      <c r="B129" s="13">
        <v>29</v>
      </c>
      <c r="C129" s="13">
        <v>3112017</v>
      </c>
      <c r="D129" s="13">
        <v>489</v>
      </c>
      <c r="E129" s="13" t="str">
        <f>"OTHER TRANSFER FEE"</f>
        <v>OTHER TRANSFER FEE</v>
      </c>
      <c r="F129" s="13">
        <v>9938</v>
      </c>
      <c r="G129" s="13" t="str">
        <f>"22628887"</f>
        <v>22628887</v>
      </c>
      <c r="H129" s="14">
        <v>0.1</v>
      </c>
      <c r="I129" s="13" t="s">
        <v>28</v>
      </c>
      <c r="J129" s="14">
        <v>291054.09999999998</v>
      </c>
      <c r="K129" s="13" t="s">
        <v>26</v>
      </c>
      <c r="L129" s="13">
        <v>192341</v>
      </c>
      <c r="M129" s="13" t="str">
        <f>"PGTEFT2737          NV2287"</f>
        <v>PGTEFT2737          NV2287</v>
      </c>
      <c r="O129" s="13">
        <v>1</v>
      </c>
    </row>
    <row r="130" spans="1:17" s="13" customFormat="1" hidden="1" x14ac:dyDescent="0.25">
      <c r="A130" s="13">
        <v>8003879954</v>
      </c>
      <c r="B130" s="13">
        <v>28</v>
      </c>
      <c r="C130" s="13">
        <v>3112017</v>
      </c>
      <c r="D130" s="13">
        <v>341</v>
      </c>
      <c r="E130" s="13" t="str">
        <f>"TR IBG"</f>
        <v>TR IBG</v>
      </c>
      <c r="F130" s="13">
        <v>9938</v>
      </c>
      <c r="G130" s="13" t="str">
        <f>"22628590"</f>
        <v>22628590</v>
      </c>
      <c r="H130" s="14">
        <v>3180</v>
      </c>
      <c r="I130" s="13" t="s">
        <v>28</v>
      </c>
      <c r="J130" s="14">
        <v>291054.2</v>
      </c>
      <c r="K130" s="13" t="s">
        <v>26</v>
      </c>
      <c r="L130" s="13">
        <v>192343</v>
      </c>
      <c r="M130" s="13" t="str">
        <f>"TLM EVENT SDN BHD"</f>
        <v>TLM EVENT SDN BHD</v>
      </c>
      <c r="O130" s="13">
        <v>1</v>
      </c>
      <c r="P130" s="13" t="str">
        <f>"PGTEFT2742"</f>
        <v>PGTEFT2742</v>
      </c>
      <c r="Q130" s="13" t="str">
        <f>"INV17-062 063"</f>
        <v>INV17-062 063</v>
      </c>
    </row>
    <row r="131" spans="1:17" s="13" customFormat="1" x14ac:dyDescent="0.25">
      <c r="A131" s="13">
        <v>8003879954</v>
      </c>
      <c r="B131" s="13">
        <v>27</v>
      </c>
      <c r="C131" s="13">
        <v>3112017</v>
      </c>
      <c r="D131" s="13">
        <v>299</v>
      </c>
      <c r="E131" s="13" t="str">
        <f>"GST"</f>
        <v>GST</v>
      </c>
      <c r="F131" s="13">
        <v>9938</v>
      </c>
      <c r="G131" s="13" t="str">
        <f>"22628590"</f>
        <v>22628590</v>
      </c>
      <c r="H131" s="14">
        <v>0.01</v>
      </c>
      <c r="I131" s="13" t="s">
        <v>28</v>
      </c>
      <c r="J131" s="14">
        <v>294234.2</v>
      </c>
      <c r="K131" s="13" t="s">
        <v>26</v>
      </c>
      <c r="L131" s="13">
        <v>192343</v>
      </c>
      <c r="M131" s="13" t="str">
        <f>"PGTEFT2742          INV17-062 063"</f>
        <v>PGTEFT2742          INV17-062 063</v>
      </c>
      <c r="O131" s="13">
        <v>1</v>
      </c>
    </row>
    <row r="132" spans="1:17" s="13" customFormat="1" hidden="1" x14ac:dyDescent="0.25">
      <c r="A132" s="13">
        <v>8003879954</v>
      </c>
      <c r="B132" s="13">
        <v>26</v>
      </c>
      <c r="C132" s="13">
        <v>3112017</v>
      </c>
      <c r="D132" s="13">
        <v>489</v>
      </c>
      <c r="E132" s="13" t="str">
        <f>"OTHER TRANSFER FEE"</f>
        <v>OTHER TRANSFER FEE</v>
      </c>
      <c r="F132" s="13">
        <v>9938</v>
      </c>
      <c r="G132" s="13" t="str">
        <f>"22628590"</f>
        <v>22628590</v>
      </c>
      <c r="H132" s="14">
        <v>0.1</v>
      </c>
      <c r="I132" s="13" t="s">
        <v>28</v>
      </c>
      <c r="J132" s="14">
        <v>294234.21000000002</v>
      </c>
      <c r="K132" s="13" t="s">
        <v>26</v>
      </c>
      <c r="L132" s="13">
        <v>192343</v>
      </c>
      <c r="M132" s="13" t="str">
        <f>"PGTEFT2742          INV17-062 063"</f>
        <v>PGTEFT2742          INV17-062 063</v>
      </c>
      <c r="O132" s="13">
        <v>1</v>
      </c>
    </row>
    <row r="133" spans="1:17" s="13" customFormat="1" hidden="1" x14ac:dyDescent="0.25">
      <c r="A133" s="13">
        <v>8003879954</v>
      </c>
      <c r="B133" s="13">
        <v>25</v>
      </c>
      <c r="C133" s="13">
        <v>3112017</v>
      </c>
      <c r="D133" s="13">
        <v>341</v>
      </c>
      <c r="E133" s="13" t="str">
        <f>"TR IBG"</f>
        <v>TR IBG</v>
      </c>
      <c r="F133" s="13">
        <v>9938</v>
      </c>
      <c r="G133" s="13" t="str">
        <f>"22628653"</f>
        <v>22628653</v>
      </c>
      <c r="H133" s="14">
        <v>92.2</v>
      </c>
      <c r="I133" s="13" t="s">
        <v>28</v>
      </c>
      <c r="J133" s="14">
        <v>294234.31</v>
      </c>
      <c r="K133" s="13" t="s">
        <v>26</v>
      </c>
      <c r="L133" s="13">
        <v>192341</v>
      </c>
      <c r="M133" s="13" t="str">
        <f>"TOP ONE DIGITAL SHOP"</f>
        <v>TOP ONE DIGITAL SHOP</v>
      </c>
      <c r="O133" s="13">
        <v>1</v>
      </c>
      <c r="P133" s="13" t="str">
        <f>"PGTEFT2741"</f>
        <v>PGTEFT2741</v>
      </c>
      <c r="Q133" s="13" t="str">
        <f>"IV-0025662"</f>
        <v>IV-0025662</v>
      </c>
    </row>
    <row r="134" spans="1:17" s="13" customFormat="1" x14ac:dyDescent="0.25">
      <c r="A134" s="13">
        <v>8003879954</v>
      </c>
      <c r="B134" s="13">
        <v>24</v>
      </c>
      <c r="C134" s="13">
        <v>3112017</v>
      </c>
      <c r="D134" s="13">
        <v>299</v>
      </c>
      <c r="E134" s="13" t="str">
        <f>"GST"</f>
        <v>GST</v>
      </c>
      <c r="F134" s="13">
        <v>9938</v>
      </c>
      <c r="G134" s="13" t="str">
        <f>"22628653"</f>
        <v>22628653</v>
      </c>
      <c r="H134" s="14">
        <v>0.01</v>
      </c>
      <c r="I134" s="13" t="s">
        <v>28</v>
      </c>
      <c r="J134" s="14">
        <v>294326.51</v>
      </c>
      <c r="K134" s="13" t="s">
        <v>26</v>
      </c>
      <c r="L134" s="13">
        <v>192341</v>
      </c>
      <c r="M134" s="13" t="str">
        <f>"PGTEFT2741          IV-0025662"</f>
        <v>PGTEFT2741          IV-0025662</v>
      </c>
      <c r="O134" s="13">
        <v>1</v>
      </c>
    </row>
    <row r="135" spans="1:17" s="13" customFormat="1" hidden="1" x14ac:dyDescent="0.25">
      <c r="A135" s="13">
        <v>8003879954</v>
      </c>
      <c r="B135" s="13">
        <v>23</v>
      </c>
      <c r="C135" s="13">
        <v>3112017</v>
      </c>
      <c r="D135" s="13">
        <v>489</v>
      </c>
      <c r="E135" s="13" t="str">
        <f>"OTHER TRANSFER FEE"</f>
        <v>OTHER TRANSFER FEE</v>
      </c>
      <c r="F135" s="13">
        <v>9938</v>
      </c>
      <c r="G135" s="13" t="str">
        <f>"22628653"</f>
        <v>22628653</v>
      </c>
      <c r="H135" s="14">
        <v>0.1</v>
      </c>
      <c r="I135" s="13" t="s">
        <v>28</v>
      </c>
      <c r="J135" s="14">
        <v>294326.52</v>
      </c>
      <c r="K135" s="13" t="s">
        <v>26</v>
      </c>
      <c r="L135" s="13">
        <v>192341</v>
      </c>
      <c r="M135" s="13" t="str">
        <f>"PGTEFT2741          IV-0025662"</f>
        <v>PGTEFT2741          IV-0025662</v>
      </c>
      <c r="O135" s="13">
        <v>1</v>
      </c>
    </row>
    <row r="136" spans="1:17" s="13" customFormat="1" hidden="1" x14ac:dyDescent="0.25">
      <c r="A136" s="13">
        <v>8003879954</v>
      </c>
      <c r="B136" s="13">
        <v>22</v>
      </c>
      <c r="C136" s="13">
        <v>3112017</v>
      </c>
      <c r="D136" s="13">
        <v>341</v>
      </c>
      <c r="E136" s="13" t="str">
        <f>"TR IBG"</f>
        <v>TR IBG</v>
      </c>
      <c r="F136" s="13">
        <v>9938</v>
      </c>
      <c r="G136" s="13" t="str">
        <f>"22629562"</f>
        <v>22629562</v>
      </c>
      <c r="H136" s="14">
        <v>800</v>
      </c>
      <c r="I136" s="13" t="s">
        <v>28</v>
      </c>
      <c r="J136" s="14">
        <v>294326.62</v>
      </c>
      <c r="K136" s="13" t="s">
        <v>26</v>
      </c>
      <c r="L136" s="13">
        <v>191950</v>
      </c>
      <c r="M136" s="13" t="str">
        <f>"KHOO SWEE HEANG"</f>
        <v>KHOO SWEE HEANG</v>
      </c>
      <c r="O136" s="13">
        <v>1</v>
      </c>
      <c r="P136" s="13" t="str">
        <f>"PGTEFT2730"</f>
        <v>PGTEFT2730</v>
      </c>
      <c r="Q136" s="13" t="str">
        <f>"1PGT-17"</f>
        <v>1PGT-17</v>
      </c>
    </row>
    <row r="137" spans="1:17" s="13" customFormat="1" x14ac:dyDescent="0.25">
      <c r="A137" s="13">
        <v>8003879954</v>
      </c>
      <c r="B137" s="13">
        <v>21</v>
      </c>
      <c r="C137" s="13">
        <v>3112017</v>
      </c>
      <c r="D137" s="13">
        <v>299</v>
      </c>
      <c r="E137" s="13" t="str">
        <f>"GST"</f>
        <v>GST</v>
      </c>
      <c r="F137" s="13">
        <v>9938</v>
      </c>
      <c r="G137" s="13" t="str">
        <f>"22629562"</f>
        <v>22629562</v>
      </c>
      <c r="H137" s="14">
        <v>0.01</v>
      </c>
      <c r="I137" s="13" t="s">
        <v>28</v>
      </c>
      <c r="J137" s="14">
        <v>295126.62</v>
      </c>
      <c r="K137" s="13" t="s">
        <v>26</v>
      </c>
      <c r="L137" s="13">
        <v>191950</v>
      </c>
      <c r="M137" s="13" t="str">
        <f>"PGTEFT2730          1PGT-17"</f>
        <v>PGTEFT2730          1PGT-17</v>
      </c>
      <c r="O137" s="13">
        <v>1</v>
      </c>
    </row>
    <row r="138" spans="1:17" s="13" customFormat="1" hidden="1" x14ac:dyDescent="0.25">
      <c r="A138" s="13">
        <v>8003879954</v>
      </c>
      <c r="B138" s="13">
        <v>20</v>
      </c>
      <c r="C138" s="13">
        <v>3112017</v>
      </c>
      <c r="D138" s="13">
        <v>489</v>
      </c>
      <c r="E138" s="13" t="str">
        <f>"OTHER TRANSFER FEE"</f>
        <v>OTHER TRANSFER FEE</v>
      </c>
      <c r="F138" s="13">
        <v>9938</v>
      </c>
      <c r="G138" s="13" t="str">
        <f>"22629562"</f>
        <v>22629562</v>
      </c>
      <c r="H138" s="14">
        <v>0.1</v>
      </c>
      <c r="I138" s="13" t="s">
        <v>28</v>
      </c>
      <c r="J138" s="14">
        <v>295126.63</v>
      </c>
      <c r="K138" s="13" t="s">
        <v>26</v>
      </c>
      <c r="L138" s="13">
        <v>191950</v>
      </c>
      <c r="M138" s="13" t="str">
        <f>"PGTEFT2730          1PGT-17"</f>
        <v>PGTEFT2730          1PGT-17</v>
      </c>
      <c r="O138" s="13">
        <v>1</v>
      </c>
    </row>
    <row r="139" spans="1:17" s="13" customFormat="1" hidden="1" x14ac:dyDescent="0.25">
      <c r="A139" s="13">
        <v>8003879954</v>
      </c>
      <c r="B139" s="13">
        <v>19</v>
      </c>
      <c r="C139" s="13">
        <v>3112017</v>
      </c>
      <c r="D139" s="13">
        <v>60</v>
      </c>
      <c r="E139" s="13" t="str">
        <f>"TR TO C/A"</f>
        <v>TR TO C/A</v>
      </c>
      <c r="F139" s="13">
        <v>9938</v>
      </c>
      <c r="G139" s="13" t="str">
        <f>"22629921"</f>
        <v>22629921</v>
      </c>
      <c r="H139" s="14">
        <v>390</v>
      </c>
      <c r="I139" s="13" t="s">
        <v>28</v>
      </c>
      <c r="J139" s="14">
        <v>295126.73</v>
      </c>
      <c r="K139" s="13" t="s">
        <v>26</v>
      </c>
      <c r="L139" s="13">
        <v>191949</v>
      </c>
      <c r="M139" s="13" t="str">
        <f>"PAYROLL-OCT'17 CORPORATENET ADVISO"</f>
        <v>PAYROLL-OCT'17 CORPORATENET ADVISO</v>
      </c>
      <c r="O139" s="13">
        <v>1</v>
      </c>
      <c r="P139" s="13" t="str">
        <f>"PGTEFT2726"</f>
        <v>PGTEFT2726</v>
      </c>
      <c r="Q139" s="13" t="str">
        <f>"CA-17-0141"</f>
        <v>CA-17-0141</v>
      </c>
    </row>
    <row r="140" spans="1:17" s="13" customFormat="1" hidden="1" x14ac:dyDescent="0.25">
      <c r="A140" s="13">
        <v>8003879954</v>
      </c>
      <c r="B140" s="13">
        <v>18</v>
      </c>
      <c r="C140" s="13">
        <v>3112017</v>
      </c>
      <c r="D140" s="13">
        <v>341</v>
      </c>
      <c r="E140" s="13" t="str">
        <f>"TR IBG"</f>
        <v>TR IBG</v>
      </c>
      <c r="F140" s="13">
        <v>9938</v>
      </c>
      <c r="G140" s="13" t="str">
        <f>"22629635"</f>
        <v>22629635</v>
      </c>
      <c r="H140" s="14">
        <v>8184.76</v>
      </c>
      <c r="I140" s="13" t="s">
        <v>28</v>
      </c>
      <c r="J140" s="14">
        <v>295516.73</v>
      </c>
      <c r="K140" s="13" t="s">
        <v>26</v>
      </c>
      <c r="L140" s="13">
        <v>191947</v>
      </c>
      <c r="M140" s="13" t="str">
        <f>"HARPERS TRAVEL (M) S"</f>
        <v>HARPERS TRAVEL (M) S</v>
      </c>
      <c r="O140" s="13">
        <v>1</v>
      </c>
      <c r="P140" s="13" t="str">
        <f>"PGTEFT2729"</f>
        <v>PGTEFT2729</v>
      </c>
      <c r="Q140" s="13" t="str">
        <f>"HPT12760 12801"</f>
        <v>HPT12760 12801</v>
      </c>
    </row>
    <row r="141" spans="1:17" s="13" customFormat="1" x14ac:dyDescent="0.25">
      <c r="A141" s="13">
        <v>8003879954</v>
      </c>
      <c r="B141" s="13">
        <v>17</v>
      </c>
      <c r="C141" s="13">
        <v>3112017</v>
      </c>
      <c r="D141" s="13">
        <v>299</v>
      </c>
      <c r="E141" s="13" t="str">
        <f>"GST"</f>
        <v>GST</v>
      </c>
      <c r="F141" s="13">
        <v>9938</v>
      </c>
      <c r="G141" s="13" t="str">
        <f>"22629635"</f>
        <v>22629635</v>
      </c>
      <c r="H141" s="14">
        <v>0.01</v>
      </c>
      <c r="I141" s="13" t="s">
        <v>28</v>
      </c>
      <c r="J141" s="14">
        <v>303701.49</v>
      </c>
      <c r="K141" s="13" t="s">
        <v>26</v>
      </c>
      <c r="L141" s="13">
        <v>191947</v>
      </c>
      <c r="M141" s="13" t="str">
        <f>"PGTEFT2729          HPT12760 12801"</f>
        <v>PGTEFT2729          HPT12760 12801</v>
      </c>
      <c r="O141" s="13">
        <v>1</v>
      </c>
    </row>
    <row r="142" spans="1:17" s="13" customFormat="1" hidden="1" x14ac:dyDescent="0.25">
      <c r="A142" s="13">
        <v>8003879954</v>
      </c>
      <c r="B142" s="13">
        <v>16</v>
      </c>
      <c r="C142" s="13">
        <v>3112017</v>
      </c>
      <c r="D142" s="13">
        <v>489</v>
      </c>
      <c r="E142" s="13" t="str">
        <f>"OTHER TRANSFER FEE"</f>
        <v>OTHER TRANSFER FEE</v>
      </c>
      <c r="F142" s="13">
        <v>9938</v>
      </c>
      <c r="G142" s="13" t="str">
        <f>"22629635"</f>
        <v>22629635</v>
      </c>
      <c r="H142" s="14">
        <v>0.1</v>
      </c>
      <c r="I142" s="13" t="s">
        <v>28</v>
      </c>
      <c r="J142" s="14">
        <v>303701.5</v>
      </c>
      <c r="K142" s="13" t="s">
        <v>26</v>
      </c>
      <c r="L142" s="13">
        <v>191947</v>
      </c>
      <c r="M142" s="13" t="str">
        <f>"PGTEFT2729          HPT12760 12801"</f>
        <v>PGTEFT2729          HPT12760 12801</v>
      </c>
      <c r="O142" s="13">
        <v>1</v>
      </c>
    </row>
    <row r="143" spans="1:17" s="13" customFormat="1" hidden="1" x14ac:dyDescent="0.25">
      <c r="A143" s="13">
        <v>8003879954</v>
      </c>
      <c r="B143" s="13">
        <v>15</v>
      </c>
      <c r="C143" s="13">
        <v>3112017</v>
      </c>
      <c r="D143" s="13">
        <v>60</v>
      </c>
      <c r="E143" s="13" t="str">
        <f>"TR TO C/A"</f>
        <v>TR TO C/A</v>
      </c>
      <c r="F143" s="13">
        <v>9938</v>
      </c>
      <c r="G143" s="13" t="str">
        <f>"22629745"</f>
        <v>22629745</v>
      </c>
      <c r="H143" s="14">
        <v>180</v>
      </c>
      <c r="I143" s="13" t="s">
        <v>28</v>
      </c>
      <c r="J143" s="14">
        <v>303701.59999999998</v>
      </c>
      <c r="K143" s="13" t="s">
        <v>26</v>
      </c>
      <c r="L143" s="13">
        <v>191949</v>
      </c>
      <c r="M143" s="13" t="str">
        <f>"PCET PEN PRINTING CH HOOI CERAMICS &amp; GIF"</f>
        <v>PCET PEN PRINTING CH HOOI CERAMICS &amp; GIF</v>
      </c>
      <c r="O143" s="13">
        <v>1</v>
      </c>
      <c r="P143" s="13" t="str">
        <f>"PGTEFT2728"</f>
        <v>PGTEFT2728</v>
      </c>
      <c r="Q143" s="13" t="str">
        <f>"INV2863"</f>
        <v>INV2863</v>
      </c>
    </row>
    <row r="144" spans="1:17" s="13" customFormat="1" hidden="1" x14ac:dyDescent="0.25">
      <c r="A144" s="13">
        <v>8003879954</v>
      </c>
      <c r="B144" s="13">
        <v>14</v>
      </c>
      <c r="C144" s="13">
        <v>3112017</v>
      </c>
      <c r="D144" s="13">
        <v>60</v>
      </c>
      <c r="E144" s="13" t="str">
        <f>"TR TO C/A"</f>
        <v>TR TO C/A</v>
      </c>
      <c r="F144" s="13">
        <v>9938</v>
      </c>
      <c r="G144" s="13" t="str">
        <f>"22629986"</f>
        <v>22629986</v>
      </c>
      <c r="H144" s="14">
        <v>360.4</v>
      </c>
      <c r="I144" s="13" t="s">
        <v>28</v>
      </c>
      <c r="J144" s="14">
        <v>303881.59999999998</v>
      </c>
      <c r="K144" s="13" t="s">
        <v>26</v>
      </c>
      <c r="L144" s="13">
        <v>191947</v>
      </c>
      <c r="M144" s="13" t="str">
        <f>"ACCOUNTING - OCT'17 CORPORATENET SDN BH"</f>
        <v>ACCOUNTING - OCT'17 CORPORATENET SDN BH</v>
      </c>
      <c r="O144" s="13">
        <v>1</v>
      </c>
      <c r="P144" s="13" t="str">
        <f>"PGTEFT2725"</f>
        <v>PGTEFT2725</v>
      </c>
      <c r="Q144" s="13" t="str">
        <f>"CNET-17-2543"</f>
        <v>CNET-17-2543</v>
      </c>
    </row>
    <row r="145" spans="1:17" s="13" customFormat="1" hidden="1" x14ac:dyDescent="0.25">
      <c r="A145" s="13">
        <v>8003879954</v>
      </c>
      <c r="B145" s="13">
        <v>13</v>
      </c>
      <c r="C145" s="13">
        <v>3112017</v>
      </c>
      <c r="D145" s="13">
        <v>341</v>
      </c>
      <c r="E145" s="13" t="str">
        <f>"TR IBG"</f>
        <v>TR IBG</v>
      </c>
      <c r="F145" s="13">
        <v>9938</v>
      </c>
      <c r="G145" s="13" t="str">
        <f>"22629813"</f>
        <v>22629813</v>
      </c>
      <c r="H145" s="14">
        <v>556.74</v>
      </c>
      <c r="I145" s="13" t="s">
        <v>28</v>
      </c>
      <c r="J145" s="14">
        <v>304242</v>
      </c>
      <c r="K145" s="13" t="s">
        <v>26</v>
      </c>
      <c r="L145" s="13">
        <v>191947</v>
      </c>
      <c r="M145" s="13" t="str">
        <f>"FUJI XEROX ASIA PACI"</f>
        <v>FUJI XEROX ASIA PACI</v>
      </c>
      <c r="O145" s="13">
        <v>1</v>
      </c>
      <c r="P145" s="13" t="str">
        <f>"PGTEFT2727"</f>
        <v>PGTEFT2727</v>
      </c>
      <c r="Q145" s="13" t="str">
        <f>"ACC316057"</f>
        <v>ACC316057</v>
      </c>
    </row>
    <row r="146" spans="1:17" s="13" customFormat="1" x14ac:dyDescent="0.25">
      <c r="A146" s="13">
        <v>8003879954</v>
      </c>
      <c r="B146" s="13">
        <v>12</v>
      </c>
      <c r="C146" s="13">
        <v>3112017</v>
      </c>
      <c r="D146" s="13">
        <v>299</v>
      </c>
      <c r="E146" s="13" t="str">
        <f>"GST"</f>
        <v>GST</v>
      </c>
      <c r="F146" s="13">
        <v>9938</v>
      </c>
      <c r="G146" s="13" t="str">
        <f>"22629813"</f>
        <v>22629813</v>
      </c>
      <c r="H146" s="14">
        <v>0.01</v>
      </c>
      <c r="I146" s="13" t="s">
        <v>28</v>
      </c>
      <c r="J146" s="14">
        <v>304798.74</v>
      </c>
      <c r="K146" s="13" t="s">
        <v>26</v>
      </c>
      <c r="L146" s="13">
        <v>191947</v>
      </c>
      <c r="M146" s="13" t="str">
        <f>"PGTEFT2727          ACC316057"</f>
        <v>PGTEFT2727          ACC316057</v>
      </c>
      <c r="O146" s="13">
        <v>1</v>
      </c>
    </row>
    <row r="147" spans="1:17" s="13" customFormat="1" hidden="1" x14ac:dyDescent="0.25">
      <c r="A147" s="13">
        <v>8003879954</v>
      </c>
      <c r="B147" s="13">
        <v>11</v>
      </c>
      <c r="C147" s="13">
        <v>3112017</v>
      </c>
      <c r="D147" s="13">
        <v>489</v>
      </c>
      <c r="E147" s="13" t="str">
        <f>"OTHER TRANSFER FEE"</f>
        <v>OTHER TRANSFER FEE</v>
      </c>
      <c r="F147" s="13">
        <v>9938</v>
      </c>
      <c r="G147" s="13" t="str">
        <f>"22629813"</f>
        <v>22629813</v>
      </c>
      <c r="H147" s="14">
        <v>0.1</v>
      </c>
      <c r="I147" s="13" t="s">
        <v>28</v>
      </c>
      <c r="J147" s="14">
        <v>304798.75</v>
      </c>
      <c r="K147" s="13" t="s">
        <v>26</v>
      </c>
      <c r="L147" s="13">
        <v>191947</v>
      </c>
      <c r="M147" s="13" t="str">
        <f>"PGTEFT2727          ACC316057"</f>
        <v>PGTEFT2727          ACC316057</v>
      </c>
      <c r="O147" s="13">
        <v>1</v>
      </c>
    </row>
    <row r="148" spans="1:17" s="13" customFormat="1" hidden="1" x14ac:dyDescent="0.25">
      <c r="A148" s="13">
        <v>8003879954</v>
      </c>
      <c r="B148" s="13">
        <v>10</v>
      </c>
      <c r="C148" s="13">
        <v>3112017</v>
      </c>
      <c r="D148" s="13">
        <v>341</v>
      </c>
      <c r="E148" s="13" t="str">
        <f>"TR IBG"</f>
        <v>TR IBG</v>
      </c>
      <c r="F148" s="13">
        <v>9938</v>
      </c>
      <c r="G148" s="13" t="str">
        <f>"22629334"</f>
        <v>22629334</v>
      </c>
      <c r="H148" s="14">
        <v>1800</v>
      </c>
      <c r="I148" s="13" t="s">
        <v>28</v>
      </c>
      <c r="J148" s="14">
        <v>304798.84999999998</v>
      </c>
      <c r="K148" s="13" t="s">
        <v>26</v>
      </c>
      <c r="L148" s="13">
        <v>191948</v>
      </c>
      <c r="M148" s="13" t="str">
        <f>"LOUISE GOSS-CUSTARD"</f>
        <v>LOUISE GOSS-CUSTARD</v>
      </c>
      <c r="O148" s="13">
        <v>1</v>
      </c>
      <c r="P148" s="13" t="str">
        <f>"PGTEFT2732"</f>
        <v>PGTEFT2732</v>
      </c>
      <c r="Q148" s="13" t="str">
        <f>"PGT007"</f>
        <v>PGT007</v>
      </c>
    </row>
    <row r="149" spans="1:17" s="13" customFormat="1" x14ac:dyDescent="0.25">
      <c r="A149" s="13">
        <v>8003879954</v>
      </c>
      <c r="B149" s="13">
        <v>9</v>
      </c>
      <c r="C149" s="13">
        <v>3112017</v>
      </c>
      <c r="D149" s="13">
        <v>299</v>
      </c>
      <c r="E149" s="13" t="str">
        <f>"GST"</f>
        <v>GST</v>
      </c>
      <c r="F149" s="13">
        <v>9938</v>
      </c>
      <c r="G149" s="13" t="str">
        <f>"22629334"</f>
        <v>22629334</v>
      </c>
      <c r="H149" s="14">
        <v>0.01</v>
      </c>
      <c r="I149" s="13" t="s">
        <v>28</v>
      </c>
      <c r="J149" s="14">
        <v>306598.84999999998</v>
      </c>
      <c r="K149" s="13" t="s">
        <v>26</v>
      </c>
      <c r="L149" s="13">
        <v>191948</v>
      </c>
      <c r="M149" s="13" t="str">
        <f>"PGTEFT2732          PGT007"</f>
        <v>PGTEFT2732          PGT007</v>
      </c>
      <c r="O149" s="13">
        <v>1</v>
      </c>
    </row>
    <row r="150" spans="1:17" s="13" customFormat="1" hidden="1" x14ac:dyDescent="0.25">
      <c r="A150" s="13">
        <v>8003879954</v>
      </c>
      <c r="B150" s="13">
        <v>8</v>
      </c>
      <c r="C150" s="13">
        <v>3112017</v>
      </c>
      <c r="D150" s="13">
        <v>489</v>
      </c>
      <c r="E150" s="13" t="str">
        <f>"OTHER TRANSFER FEE"</f>
        <v>OTHER TRANSFER FEE</v>
      </c>
      <c r="F150" s="13">
        <v>9938</v>
      </c>
      <c r="G150" s="13" t="str">
        <f>"22629334"</f>
        <v>22629334</v>
      </c>
      <c r="H150" s="14">
        <v>0.1</v>
      </c>
      <c r="I150" s="13" t="s">
        <v>28</v>
      </c>
      <c r="J150" s="14">
        <v>306598.86</v>
      </c>
      <c r="K150" s="13" t="s">
        <v>26</v>
      </c>
      <c r="L150" s="13">
        <v>191948</v>
      </c>
      <c r="M150" s="13" t="str">
        <f>"PGTEFT2732          PGT007"</f>
        <v>PGTEFT2732          PGT007</v>
      </c>
      <c r="O150" s="13">
        <v>1</v>
      </c>
    </row>
    <row r="151" spans="1:17" s="13" customFormat="1" hidden="1" x14ac:dyDescent="0.25">
      <c r="A151" s="13">
        <v>8003879954</v>
      </c>
      <c r="B151" s="13">
        <v>7</v>
      </c>
      <c r="C151" s="13">
        <v>3112017</v>
      </c>
      <c r="D151" s="13">
        <v>341</v>
      </c>
      <c r="E151" s="13" t="str">
        <f>"TR IBG"</f>
        <v>TR IBG</v>
      </c>
      <c r="F151" s="13">
        <v>9938</v>
      </c>
      <c r="G151" s="13" t="str">
        <f>"22630053"</f>
        <v>22630053</v>
      </c>
      <c r="H151" s="14">
        <v>1050</v>
      </c>
      <c r="I151" s="13" t="s">
        <v>28</v>
      </c>
      <c r="J151" s="14">
        <v>306598.96000000002</v>
      </c>
      <c r="K151" s="13" t="s">
        <v>26</v>
      </c>
      <c r="L151" s="13">
        <v>191948</v>
      </c>
      <c r="M151" s="13" t="str">
        <f>"BBWEB SOLUTIONS"</f>
        <v>BBWEB SOLUTIONS</v>
      </c>
      <c r="O151" s="13">
        <v>1</v>
      </c>
      <c r="P151" s="13" t="str">
        <f>"PGTEFT2724"</f>
        <v>PGTEFT2724</v>
      </c>
      <c r="Q151" s="13" t="str">
        <f>"INV2017-15"</f>
        <v>INV2017-15</v>
      </c>
    </row>
    <row r="152" spans="1:17" s="13" customFormat="1" x14ac:dyDescent="0.25">
      <c r="A152" s="13">
        <v>8003879954</v>
      </c>
      <c r="B152" s="13">
        <v>6</v>
      </c>
      <c r="C152" s="13">
        <v>3112017</v>
      </c>
      <c r="D152" s="13">
        <v>299</v>
      </c>
      <c r="E152" s="13" t="str">
        <f>"GST"</f>
        <v>GST</v>
      </c>
      <c r="F152" s="13">
        <v>9938</v>
      </c>
      <c r="G152" s="13" t="str">
        <f>"22630053"</f>
        <v>22630053</v>
      </c>
      <c r="H152" s="14">
        <v>0.01</v>
      </c>
      <c r="I152" s="13" t="s">
        <v>28</v>
      </c>
      <c r="J152" s="14">
        <v>307648.96000000002</v>
      </c>
      <c r="K152" s="13" t="s">
        <v>26</v>
      </c>
      <c r="L152" s="13">
        <v>191948</v>
      </c>
      <c r="M152" s="13" t="str">
        <f>"PGTEFT2724          INV2017-15"</f>
        <v>PGTEFT2724          INV2017-15</v>
      </c>
      <c r="O152" s="13">
        <v>1</v>
      </c>
    </row>
    <row r="153" spans="1:17" s="13" customFormat="1" hidden="1" x14ac:dyDescent="0.25">
      <c r="A153" s="13">
        <v>8003879954</v>
      </c>
      <c r="B153" s="13">
        <v>5</v>
      </c>
      <c r="C153" s="13">
        <v>3112017</v>
      </c>
      <c r="D153" s="13">
        <v>489</v>
      </c>
      <c r="E153" s="13" t="str">
        <f>"OTHER TRANSFER FEE"</f>
        <v>OTHER TRANSFER FEE</v>
      </c>
      <c r="F153" s="13">
        <v>9938</v>
      </c>
      <c r="G153" s="13" t="str">
        <f>"22630053"</f>
        <v>22630053</v>
      </c>
      <c r="H153" s="14">
        <v>0.1</v>
      </c>
      <c r="I153" s="13" t="s">
        <v>28</v>
      </c>
      <c r="J153" s="14">
        <v>307648.96999999997</v>
      </c>
      <c r="K153" s="13" t="s">
        <v>26</v>
      </c>
      <c r="L153" s="13">
        <v>191948</v>
      </c>
      <c r="M153" s="13" t="str">
        <f>"PGTEFT2724          INV2017-15"</f>
        <v>PGTEFT2724          INV2017-15</v>
      </c>
      <c r="O153" s="13">
        <v>1</v>
      </c>
    </row>
    <row r="154" spans="1:17" s="13" customFormat="1" hidden="1" x14ac:dyDescent="0.25">
      <c r="A154" s="13">
        <v>8003879954</v>
      </c>
      <c r="B154" s="13">
        <v>4</v>
      </c>
      <c r="C154" s="13">
        <v>3112017</v>
      </c>
      <c r="D154" s="13">
        <v>341</v>
      </c>
      <c r="E154" s="13" t="str">
        <f>"TR IBG"</f>
        <v>TR IBG</v>
      </c>
      <c r="F154" s="13">
        <v>9938</v>
      </c>
      <c r="G154" s="13" t="str">
        <f>"22629447"</f>
        <v>22629447</v>
      </c>
      <c r="H154" s="14">
        <v>180</v>
      </c>
      <c r="I154" s="13" t="s">
        <v>28</v>
      </c>
      <c r="J154" s="14">
        <v>307649.07</v>
      </c>
      <c r="K154" s="13" t="s">
        <v>26</v>
      </c>
      <c r="L154" s="13">
        <v>191947</v>
      </c>
      <c r="M154" s="13" t="str">
        <f>"KOLEKSI WASAYANG"</f>
        <v>KOLEKSI WASAYANG</v>
      </c>
      <c r="O154" s="13">
        <v>1</v>
      </c>
      <c r="P154" s="13" t="str">
        <f>"PGTEFT2731"</f>
        <v>PGTEFT2731</v>
      </c>
      <c r="Q154" s="13" t="str">
        <f>"20171021"</f>
        <v>20171021</v>
      </c>
    </row>
    <row r="155" spans="1:17" s="13" customFormat="1" x14ac:dyDescent="0.25">
      <c r="A155" s="13">
        <v>8003879954</v>
      </c>
      <c r="B155" s="13">
        <v>3</v>
      </c>
      <c r="C155" s="13">
        <v>3112017</v>
      </c>
      <c r="D155" s="13">
        <v>299</v>
      </c>
      <c r="E155" s="13" t="str">
        <f>"GST"</f>
        <v>GST</v>
      </c>
      <c r="F155" s="13">
        <v>9938</v>
      </c>
      <c r="G155" s="13" t="str">
        <f>"22629447"</f>
        <v>22629447</v>
      </c>
      <c r="H155" s="14">
        <v>0.01</v>
      </c>
      <c r="I155" s="13" t="s">
        <v>28</v>
      </c>
      <c r="J155" s="14">
        <v>307829.07</v>
      </c>
      <c r="K155" s="13" t="s">
        <v>26</v>
      </c>
      <c r="L155" s="13">
        <v>191947</v>
      </c>
      <c r="M155" s="13" t="str">
        <f>"PGTEFT2731          20171021"</f>
        <v>PGTEFT2731          20171021</v>
      </c>
      <c r="O155" s="13">
        <v>1</v>
      </c>
    </row>
    <row r="156" spans="1:17" s="13" customFormat="1" hidden="1" x14ac:dyDescent="0.25">
      <c r="A156" s="13">
        <v>8003879954</v>
      </c>
      <c r="B156" s="13">
        <v>2</v>
      </c>
      <c r="C156" s="13">
        <v>3112017</v>
      </c>
      <c r="D156" s="13">
        <v>489</v>
      </c>
      <c r="E156" s="13" t="str">
        <f>"OTHER TRANSFER FEE"</f>
        <v>OTHER TRANSFER FEE</v>
      </c>
      <c r="F156" s="13">
        <v>9938</v>
      </c>
      <c r="G156" s="13" t="str">
        <f>"22629447"</f>
        <v>22629447</v>
      </c>
      <c r="H156" s="14">
        <v>0.1</v>
      </c>
      <c r="I156" s="13" t="s">
        <v>28</v>
      </c>
      <c r="J156" s="14">
        <v>307829.08</v>
      </c>
      <c r="K156" s="13" t="s">
        <v>26</v>
      </c>
      <c r="L156" s="13">
        <v>191947</v>
      </c>
      <c r="M156" s="13" t="str">
        <f>"PGTEFT2731          20171021"</f>
        <v>PGTEFT2731          20171021</v>
      </c>
      <c r="O156" s="13">
        <v>1</v>
      </c>
    </row>
    <row r="157" spans="1:17" s="13" customFormat="1" hidden="1" x14ac:dyDescent="0.25">
      <c r="A157" s="13">
        <v>8003879954</v>
      </c>
      <c r="B157" s="13">
        <v>1</v>
      </c>
      <c r="C157" s="13">
        <v>3112017</v>
      </c>
      <c r="D157" s="13">
        <v>60</v>
      </c>
      <c r="E157" s="13" t="str">
        <f>"TR TO C/A"</f>
        <v>TR TO C/A</v>
      </c>
      <c r="F157" s="13">
        <v>9938</v>
      </c>
      <c r="G157" s="13" t="str">
        <f>"22630145"</f>
        <v>22630145</v>
      </c>
      <c r="H157" s="14">
        <v>306</v>
      </c>
      <c r="I157" s="13" t="s">
        <v>28</v>
      </c>
      <c r="J157" s="14">
        <v>307829.18</v>
      </c>
      <c r="K157" s="13" t="s">
        <v>26</v>
      </c>
      <c r="L157" s="13">
        <v>191947</v>
      </c>
      <c r="M157" s="13" t="str">
        <f>"NO. ANSURAN 10 AKAUN KJAAN MSIA PU"</f>
        <v>NO. ANSURAN 10 AKAUN KJAAN MSIA PU</v>
      </c>
      <c r="O157" s="13">
        <v>1</v>
      </c>
      <c r="P157" s="13" t="str">
        <f>"PGTEFT2723"</f>
        <v>PGTEFT2723</v>
      </c>
      <c r="Q157" s="13" t="str">
        <f>"NO RUJ C285195105"</f>
        <v>NO RUJ C285195105</v>
      </c>
    </row>
    <row r="158" spans="1:17" s="13" customFormat="1" hidden="1" x14ac:dyDescent="0.25">
      <c r="A158" s="13">
        <v>8003879954</v>
      </c>
      <c r="B158" s="13">
        <v>2</v>
      </c>
      <c r="C158" s="13">
        <v>2112017</v>
      </c>
      <c r="D158" s="13">
        <v>299</v>
      </c>
      <c r="E158" s="13" t="s">
        <v>44</v>
      </c>
      <c r="F158" s="13">
        <v>714</v>
      </c>
      <c r="G158" s="13" t="str">
        <f>"03653314"</f>
        <v>03653314</v>
      </c>
      <c r="H158" s="14">
        <v>0.6</v>
      </c>
      <c r="I158" s="13" t="s">
        <v>28</v>
      </c>
      <c r="J158" s="14">
        <v>308135.18</v>
      </c>
      <c r="K158" s="13" t="s">
        <v>26</v>
      </c>
      <c r="L158" s="13">
        <v>130330</v>
      </c>
      <c r="M158" s="13" t="str">
        <f>"SIGNATORIES CHANGE"</f>
        <v>SIGNATORIES CHANGE</v>
      </c>
      <c r="O158" s="13">
        <v>1</v>
      </c>
    </row>
    <row r="159" spans="1:17" s="13" customFormat="1" hidden="1" x14ac:dyDescent="0.25">
      <c r="A159" s="13">
        <v>8003879954</v>
      </c>
      <c r="B159" s="13">
        <v>1</v>
      </c>
      <c r="C159" s="13">
        <v>2112017</v>
      </c>
      <c r="D159" s="13">
        <v>489</v>
      </c>
      <c r="E159" s="13" t="str">
        <f>"CHANGE OF SIGNATORIES / CONDITIONS CHARG"</f>
        <v>CHANGE OF SIGNATORIES / CONDITIONS CHARG</v>
      </c>
      <c r="F159" s="13">
        <v>714</v>
      </c>
      <c r="G159" s="13" t="str">
        <f>"03653314"</f>
        <v>03653314</v>
      </c>
      <c r="H159" s="14">
        <v>10</v>
      </c>
      <c r="I159" s="13" t="s">
        <v>28</v>
      </c>
      <c r="J159" s="14">
        <v>308135.78000000003</v>
      </c>
      <c r="K159" s="13" t="s">
        <v>26</v>
      </c>
      <c r="L159" s="13">
        <v>130330</v>
      </c>
      <c r="M159" s="13" t="str">
        <f>"SIGNATORIES CHANGE"</f>
        <v>SIGNATORIES CHANGE</v>
      </c>
      <c r="O159" s="13">
        <v>1</v>
      </c>
    </row>
    <row r="160" spans="1:17" s="13" customFormat="1" x14ac:dyDescent="0.25">
      <c r="A160" s="13">
        <v>8003879954</v>
      </c>
      <c r="B160" s="13">
        <v>39</v>
      </c>
      <c r="C160" s="13">
        <v>1112017</v>
      </c>
      <c r="D160" s="13">
        <v>299</v>
      </c>
      <c r="E160" s="13" t="str">
        <f>"GST"</f>
        <v>GST</v>
      </c>
      <c r="H160" s="14">
        <v>0.03</v>
      </c>
      <c r="I160" s="13" t="s">
        <v>28</v>
      </c>
      <c r="J160" s="14">
        <v>308145.78000000003</v>
      </c>
      <c r="K160" s="13" t="s">
        <v>26</v>
      </c>
      <c r="L160" s="13">
        <v>10203</v>
      </c>
      <c r="M160" s="13" t="str">
        <f>""</f>
        <v/>
      </c>
      <c r="O160" s="13">
        <v>1</v>
      </c>
    </row>
    <row r="161" spans="1:17" s="13" customFormat="1" hidden="1" x14ac:dyDescent="0.25">
      <c r="A161" s="13">
        <v>8003879954</v>
      </c>
      <c r="B161" s="13">
        <v>38</v>
      </c>
      <c r="C161" s="13">
        <v>1112017</v>
      </c>
      <c r="D161" s="13">
        <v>819</v>
      </c>
      <c r="E161" s="13" t="str">
        <f>"CHQ PROCESSING FEE"</f>
        <v>CHQ PROCESSING FEE</v>
      </c>
      <c r="H161" s="14">
        <v>0.5</v>
      </c>
      <c r="I161" s="13" t="s">
        <v>28</v>
      </c>
      <c r="J161" s="14">
        <v>308145.81</v>
      </c>
      <c r="K161" s="13" t="s">
        <v>26</v>
      </c>
      <c r="L161" s="13">
        <v>10203</v>
      </c>
      <c r="M161" s="13" t="str">
        <f>""</f>
        <v/>
      </c>
      <c r="O161" s="13">
        <v>1</v>
      </c>
    </row>
    <row r="162" spans="1:17" s="13" customFormat="1" x14ac:dyDescent="0.25">
      <c r="A162" s="13">
        <v>8003879954</v>
      </c>
      <c r="B162" s="13">
        <v>37</v>
      </c>
      <c r="C162" s="13">
        <v>1112017</v>
      </c>
      <c r="D162" s="13">
        <v>299</v>
      </c>
      <c r="E162" s="13" t="str">
        <f>"GST"</f>
        <v>GST</v>
      </c>
      <c r="H162" s="14">
        <v>0.03</v>
      </c>
      <c r="I162" s="13" t="s">
        <v>28</v>
      </c>
      <c r="J162" s="14">
        <v>308146.31</v>
      </c>
      <c r="K162" s="13" t="s">
        <v>26</v>
      </c>
      <c r="L162" s="13">
        <v>10203</v>
      </c>
      <c r="M162" s="13" t="str">
        <f>""</f>
        <v/>
      </c>
      <c r="O162" s="13">
        <v>1</v>
      </c>
    </row>
    <row r="163" spans="1:17" s="13" customFormat="1" hidden="1" x14ac:dyDescent="0.25">
      <c r="A163" s="13">
        <v>8003879954</v>
      </c>
      <c r="B163" s="13">
        <v>36</v>
      </c>
      <c r="C163" s="13">
        <v>1112017</v>
      </c>
      <c r="D163" s="13">
        <v>819</v>
      </c>
      <c r="E163" s="13" t="str">
        <f>"CHQ PROCESSING FEE"</f>
        <v>CHQ PROCESSING FEE</v>
      </c>
      <c r="H163" s="14">
        <v>0.5</v>
      </c>
      <c r="I163" s="13" t="s">
        <v>28</v>
      </c>
      <c r="J163" s="14">
        <v>308146.34000000003</v>
      </c>
      <c r="K163" s="13" t="s">
        <v>26</v>
      </c>
      <c r="L163" s="13">
        <v>10203</v>
      </c>
      <c r="M163" s="13" t="str">
        <f>""</f>
        <v/>
      </c>
      <c r="O163" s="13">
        <v>1</v>
      </c>
    </row>
    <row r="164" spans="1:17" s="13" customFormat="1" hidden="1" x14ac:dyDescent="0.25">
      <c r="A164" s="13">
        <v>8003879954</v>
      </c>
      <c r="B164" s="13">
        <v>35</v>
      </c>
      <c r="C164" s="13">
        <v>1112017</v>
      </c>
      <c r="D164" s="13">
        <v>323</v>
      </c>
      <c r="E164" s="13" t="str">
        <f>"CLRG CHQ DR"</f>
        <v>CLRG CHQ DR</v>
      </c>
      <c r="F164" s="13">
        <v>0</v>
      </c>
      <c r="G164" s="13" t="str">
        <f>"00688056"</f>
        <v>00688056</v>
      </c>
      <c r="H164" s="14">
        <v>150000</v>
      </c>
      <c r="I164" s="13" t="s">
        <v>28</v>
      </c>
      <c r="J164" s="14">
        <v>308146.84000000003</v>
      </c>
      <c r="K164" s="13" t="s">
        <v>26</v>
      </c>
      <c r="L164" s="13">
        <v>10035</v>
      </c>
      <c r="M164" s="13" t="str">
        <f>""</f>
        <v/>
      </c>
      <c r="O164" s="13">
        <v>1</v>
      </c>
    </row>
    <row r="165" spans="1:17" s="13" customFormat="1" hidden="1" x14ac:dyDescent="0.25">
      <c r="A165" s="13">
        <v>8003879954</v>
      </c>
      <c r="B165" s="13">
        <v>34</v>
      </c>
      <c r="C165" s="13">
        <v>1112017</v>
      </c>
      <c r="D165" s="13">
        <v>321</v>
      </c>
      <c r="E165" s="13" t="str">
        <f>"HOUSE CHQ DR"</f>
        <v>HOUSE CHQ DR</v>
      </c>
      <c r="F165" s="13">
        <v>0</v>
      </c>
      <c r="G165" s="13" t="str">
        <f>"00688055"</f>
        <v>00688055</v>
      </c>
      <c r="H165" s="14">
        <v>7694.64</v>
      </c>
      <c r="I165" s="13" t="s">
        <v>28</v>
      </c>
      <c r="J165" s="14">
        <v>458146.84</v>
      </c>
      <c r="K165" s="13" t="s">
        <v>26</v>
      </c>
      <c r="L165" s="13">
        <v>10035</v>
      </c>
      <c r="M165" s="13" t="str">
        <f>""</f>
        <v/>
      </c>
      <c r="O165" s="13">
        <v>1</v>
      </c>
    </row>
    <row r="166" spans="1:17" s="13" customFormat="1" hidden="1" x14ac:dyDescent="0.25">
      <c r="A166" s="13">
        <v>8003879954</v>
      </c>
      <c r="B166" s="13">
        <v>33</v>
      </c>
      <c r="C166" s="13">
        <v>1112017</v>
      </c>
      <c r="D166" s="13">
        <v>341</v>
      </c>
      <c r="E166" s="13" t="str">
        <f>"TR IBG"</f>
        <v>TR IBG</v>
      </c>
      <c r="F166" s="13">
        <v>9938</v>
      </c>
      <c r="G166" s="13" t="str">
        <f>"22504774"</f>
        <v>22504774</v>
      </c>
      <c r="H166" s="14">
        <v>850</v>
      </c>
      <c r="I166" s="13" t="s">
        <v>28</v>
      </c>
      <c r="J166" s="14">
        <v>465841.48</v>
      </c>
      <c r="K166" s="13" t="s">
        <v>26</v>
      </c>
      <c r="L166" s="13">
        <v>163006</v>
      </c>
      <c r="M166" s="13" t="str">
        <f>"JAYKODI RESOURCES"</f>
        <v>JAYKODI RESOURCES</v>
      </c>
      <c r="O166" s="13">
        <v>1</v>
      </c>
      <c r="P166" s="13" t="str">
        <f>"PGTEFT2720"</f>
        <v>PGTEFT2720</v>
      </c>
    </row>
    <row r="167" spans="1:17" s="13" customFormat="1" x14ac:dyDescent="0.25">
      <c r="A167" s="13">
        <v>8003879954</v>
      </c>
      <c r="B167" s="13">
        <v>32</v>
      </c>
      <c r="C167" s="13">
        <v>1112017</v>
      </c>
      <c r="D167" s="13">
        <v>299</v>
      </c>
      <c r="E167" s="13" t="str">
        <f>"GST"</f>
        <v>GST</v>
      </c>
      <c r="F167" s="13">
        <v>9938</v>
      </c>
      <c r="G167" s="13" t="str">
        <f>"22504774"</f>
        <v>22504774</v>
      </c>
      <c r="H167" s="14">
        <v>0.01</v>
      </c>
      <c r="I167" s="13" t="s">
        <v>28</v>
      </c>
      <c r="J167" s="14">
        <v>466691.48</v>
      </c>
      <c r="K167" s="13" t="s">
        <v>26</v>
      </c>
      <c r="L167" s="13">
        <v>163006</v>
      </c>
      <c r="M167" s="13" t="str">
        <f>"PGTEFT2720"</f>
        <v>PGTEFT2720</v>
      </c>
      <c r="O167" s="13">
        <v>1</v>
      </c>
    </row>
    <row r="168" spans="1:17" s="13" customFormat="1" hidden="1" x14ac:dyDescent="0.25">
      <c r="A168" s="13">
        <v>8003879954</v>
      </c>
      <c r="B168" s="13">
        <v>31</v>
      </c>
      <c r="C168" s="13">
        <v>1112017</v>
      </c>
      <c r="D168" s="13">
        <v>489</v>
      </c>
      <c r="E168" s="13" t="str">
        <f>"OTHER TRANSFER FEE"</f>
        <v>OTHER TRANSFER FEE</v>
      </c>
      <c r="F168" s="13">
        <v>9938</v>
      </c>
      <c r="G168" s="13" t="str">
        <f>"22504774"</f>
        <v>22504774</v>
      </c>
      <c r="H168" s="14">
        <v>0.1</v>
      </c>
      <c r="I168" s="13" t="s">
        <v>28</v>
      </c>
      <c r="J168" s="14">
        <v>466691.49</v>
      </c>
      <c r="K168" s="13" t="s">
        <v>26</v>
      </c>
      <c r="L168" s="13">
        <v>163006</v>
      </c>
      <c r="M168" s="13" t="str">
        <f>"PGTEFT2720"</f>
        <v>PGTEFT2720</v>
      </c>
      <c r="O168" s="13">
        <v>1</v>
      </c>
    </row>
    <row r="169" spans="1:17" s="13" customFormat="1" hidden="1" x14ac:dyDescent="0.25">
      <c r="A169" s="13">
        <v>8003879954</v>
      </c>
      <c r="B169" s="13">
        <v>30</v>
      </c>
      <c r="C169" s="13">
        <v>1112017</v>
      </c>
      <c r="D169" s="13">
        <v>345</v>
      </c>
      <c r="E169" s="13" t="str">
        <f>"TR TO SAVINGS"</f>
        <v>TR TO SAVINGS</v>
      </c>
      <c r="F169" s="13">
        <v>9938</v>
      </c>
      <c r="G169" s="13" t="str">
        <f>"22504559"</f>
        <v>22504559</v>
      </c>
      <c r="H169" s="14">
        <v>1165</v>
      </c>
      <c r="I169" s="13" t="s">
        <v>28</v>
      </c>
      <c r="J169" s="14">
        <v>466691.59</v>
      </c>
      <c r="K169" s="13" t="s">
        <v>26</v>
      </c>
      <c r="L169" s="13">
        <v>163005</v>
      </c>
      <c r="M169" s="13" t="str">
        <f>"DESTINATION SEMINAR  DANNY TAN LEE KEONG"</f>
        <v>DESTINATION SEMINAR  DANNY TAN LEE KEONG</v>
      </c>
      <c r="O169" s="13">
        <v>1</v>
      </c>
      <c r="P169" s="13" t="str">
        <f>"PGTEFT2721"</f>
        <v>PGTEFT2721</v>
      </c>
      <c r="Q169" s="13" t="str">
        <f>"ADVANCES"</f>
        <v>ADVANCES</v>
      </c>
    </row>
    <row r="170" spans="1:17" s="13" customFormat="1" hidden="1" x14ac:dyDescent="0.25">
      <c r="A170" s="13">
        <v>8003879954</v>
      </c>
      <c r="B170" s="13">
        <v>29</v>
      </c>
      <c r="C170" s="13">
        <v>1112017</v>
      </c>
      <c r="D170" s="13">
        <v>341</v>
      </c>
      <c r="E170" s="13" t="str">
        <f>"TR IBG"</f>
        <v>TR IBG</v>
      </c>
      <c r="F170" s="13">
        <v>9938</v>
      </c>
      <c r="G170" s="13" t="str">
        <f>"22504903"</f>
        <v>22504903</v>
      </c>
      <c r="H170" s="14">
        <v>1000</v>
      </c>
      <c r="I170" s="13" t="s">
        <v>28</v>
      </c>
      <c r="J170" s="14">
        <v>467856.59</v>
      </c>
      <c r="K170" s="13" t="s">
        <v>26</v>
      </c>
      <c r="L170" s="13">
        <v>163000</v>
      </c>
      <c r="M170" s="13" t="str">
        <f>"INTEGERASI PERKEMBAN"</f>
        <v>INTEGERASI PERKEMBAN</v>
      </c>
      <c r="O170" s="13">
        <v>1</v>
      </c>
      <c r="P170" s="13" t="str">
        <f>"PGTEFT2719"</f>
        <v>PGTEFT2719</v>
      </c>
      <c r="Q170" s="13" t="str">
        <f>"PCET"</f>
        <v>PCET</v>
      </c>
    </row>
    <row r="171" spans="1:17" s="13" customFormat="1" x14ac:dyDescent="0.25">
      <c r="A171" s="13">
        <v>8003879954</v>
      </c>
      <c r="B171" s="13">
        <v>28</v>
      </c>
      <c r="C171" s="13">
        <v>1112017</v>
      </c>
      <c r="D171" s="13">
        <v>299</v>
      </c>
      <c r="E171" s="13" t="str">
        <f>"GST"</f>
        <v>GST</v>
      </c>
      <c r="F171" s="13">
        <v>9938</v>
      </c>
      <c r="G171" s="13" t="str">
        <f>"22504903"</f>
        <v>22504903</v>
      </c>
      <c r="H171" s="14">
        <v>0.01</v>
      </c>
      <c r="I171" s="13" t="s">
        <v>28</v>
      </c>
      <c r="J171" s="14">
        <v>468856.59</v>
      </c>
      <c r="K171" s="13" t="s">
        <v>26</v>
      </c>
      <c r="L171" s="13">
        <v>163000</v>
      </c>
      <c r="M171" s="13" t="str">
        <f>"PGTEFT2719          PCET"</f>
        <v>PGTEFT2719          PCET</v>
      </c>
      <c r="O171" s="13">
        <v>1</v>
      </c>
    </row>
    <row r="172" spans="1:17" s="13" customFormat="1" hidden="1" x14ac:dyDescent="0.25">
      <c r="A172" s="13">
        <v>8003879954</v>
      </c>
      <c r="B172" s="13">
        <v>27</v>
      </c>
      <c r="C172" s="13">
        <v>1112017</v>
      </c>
      <c r="D172" s="13">
        <v>489</v>
      </c>
      <c r="E172" s="13" t="str">
        <f>"OTHER TRANSFER FEE"</f>
        <v>OTHER TRANSFER FEE</v>
      </c>
      <c r="F172" s="13">
        <v>9938</v>
      </c>
      <c r="G172" s="13" t="str">
        <f>"22504903"</f>
        <v>22504903</v>
      </c>
      <c r="H172" s="14">
        <v>0.1</v>
      </c>
      <c r="I172" s="13" t="s">
        <v>28</v>
      </c>
      <c r="J172" s="14">
        <v>468856.6</v>
      </c>
      <c r="K172" s="13" t="s">
        <v>26</v>
      </c>
      <c r="L172" s="13">
        <v>163000</v>
      </c>
      <c r="M172" s="13" t="str">
        <f>"PGTEFT2719          PCET"</f>
        <v>PGTEFT2719          PCET</v>
      </c>
      <c r="O172" s="13">
        <v>1</v>
      </c>
    </row>
    <row r="173" spans="1:17" s="13" customFormat="1" hidden="1" x14ac:dyDescent="0.25">
      <c r="A173" s="13">
        <v>8003879954</v>
      </c>
      <c r="B173" s="13">
        <v>26</v>
      </c>
      <c r="C173" s="13">
        <v>1112017</v>
      </c>
      <c r="D173" s="13">
        <v>345</v>
      </c>
      <c r="E173" s="13" t="str">
        <f>"TR TO SAVINGS"</f>
        <v>TR TO SAVINGS</v>
      </c>
      <c r="F173" s="13">
        <v>9938</v>
      </c>
      <c r="G173" s="13" t="str">
        <f>"22504668"</f>
        <v>22504668</v>
      </c>
      <c r="H173" s="14">
        <v>5265</v>
      </c>
      <c r="I173" s="13" t="s">
        <v>28</v>
      </c>
      <c r="J173" s="14">
        <v>468856.7</v>
      </c>
      <c r="K173" s="13" t="s">
        <v>26</v>
      </c>
      <c r="L173" s="13">
        <v>162959</v>
      </c>
      <c r="M173" s="13" t="str">
        <f>"DESTINATION SEMINAR  JOANNE KHOO ROU YAN"</f>
        <v>DESTINATION SEMINAR  JOANNE KHOO ROU YAN</v>
      </c>
      <c r="O173" s="13">
        <v>1</v>
      </c>
      <c r="P173" s="13" t="str">
        <f>"PGTEFT2721"</f>
        <v>PGTEFT2721</v>
      </c>
      <c r="Q173" s="13" t="str">
        <f>"ADVANCES"</f>
        <v>ADVANCES</v>
      </c>
    </row>
    <row r="174" spans="1:17" s="13" customFormat="1" hidden="1" x14ac:dyDescent="0.25">
      <c r="A174" s="13">
        <v>8003879954</v>
      </c>
      <c r="B174" s="13">
        <v>25</v>
      </c>
      <c r="C174" s="13">
        <v>1112017</v>
      </c>
      <c r="D174" s="13">
        <v>345</v>
      </c>
      <c r="E174" s="13" t="str">
        <f>"TR TO SAVINGS"</f>
        <v>TR TO SAVINGS</v>
      </c>
      <c r="F174" s="13">
        <v>9938</v>
      </c>
      <c r="G174" s="13" t="str">
        <f>"22504474"</f>
        <v>22504474</v>
      </c>
      <c r="H174" s="14">
        <v>1210</v>
      </c>
      <c r="I174" s="13" t="s">
        <v>28</v>
      </c>
      <c r="J174" s="14">
        <v>474121.7</v>
      </c>
      <c r="K174" s="13" t="s">
        <v>26</v>
      </c>
      <c r="L174" s="13">
        <v>162959</v>
      </c>
      <c r="M174" s="13" t="str">
        <f>"DESTINATION SEMINAR  OOI CHOK YAN"</f>
        <v>DESTINATION SEMINAR  OOI CHOK YAN</v>
      </c>
      <c r="O174" s="13">
        <v>1</v>
      </c>
      <c r="P174" s="13" t="str">
        <f>"PGTEFT2722"</f>
        <v>PGTEFT2722</v>
      </c>
      <c r="Q174" s="13" t="str">
        <f>"ADVANCES"</f>
        <v>ADVANCES</v>
      </c>
    </row>
    <row r="175" spans="1:17" s="13" customFormat="1" hidden="1" x14ac:dyDescent="0.25">
      <c r="A175" s="13">
        <v>8003879954</v>
      </c>
      <c r="B175" s="13">
        <v>24</v>
      </c>
      <c r="C175" s="13">
        <v>1112017</v>
      </c>
      <c r="D175" s="13">
        <v>341</v>
      </c>
      <c r="E175" s="13" t="str">
        <f>"TR IBG"</f>
        <v>TR IBG</v>
      </c>
      <c r="F175" s="13">
        <v>9938</v>
      </c>
      <c r="G175" s="13" t="str">
        <f>"22505055"</f>
        <v>22505055</v>
      </c>
      <c r="H175" s="14">
        <v>1000</v>
      </c>
      <c r="I175" s="13" t="s">
        <v>28</v>
      </c>
      <c r="J175" s="14">
        <v>475331.7</v>
      </c>
      <c r="K175" s="13" t="s">
        <v>26</v>
      </c>
      <c r="L175" s="13">
        <v>162753</v>
      </c>
      <c r="M175" s="13" t="str">
        <f>"SENTRAL EDUCATION SD"</f>
        <v>SENTRAL EDUCATION SD</v>
      </c>
      <c r="O175" s="13">
        <v>1</v>
      </c>
      <c r="P175" s="13" t="str">
        <f>"PGTEFT2718"</f>
        <v>PGTEFT2718</v>
      </c>
      <c r="Q175" s="13" t="str">
        <f>"PCET"</f>
        <v>PCET</v>
      </c>
    </row>
    <row r="176" spans="1:17" s="13" customFormat="1" x14ac:dyDescent="0.25">
      <c r="A176" s="13">
        <v>8003879954</v>
      </c>
      <c r="B176" s="13">
        <v>23</v>
      </c>
      <c r="C176" s="13">
        <v>1112017</v>
      </c>
      <c r="D176" s="13">
        <v>299</v>
      </c>
      <c r="E176" s="13" t="str">
        <f>"GST"</f>
        <v>GST</v>
      </c>
      <c r="F176" s="13">
        <v>9938</v>
      </c>
      <c r="G176" s="13" t="str">
        <f>"22505055"</f>
        <v>22505055</v>
      </c>
      <c r="H176" s="14">
        <v>0.01</v>
      </c>
      <c r="I176" s="13" t="s">
        <v>28</v>
      </c>
      <c r="J176" s="14">
        <v>476331.7</v>
      </c>
      <c r="K176" s="13" t="s">
        <v>26</v>
      </c>
      <c r="L176" s="13">
        <v>162753</v>
      </c>
      <c r="M176" s="13" t="str">
        <f>"PGTEFT2718          PCET"</f>
        <v>PGTEFT2718          PCET</v>
      </c>
      <c r="O176" s="13">
        <v>1</v>
      </c>
    </row>
    <row r="177" spans="1:17" s="13" customFormat="1" hidden="1" x14ac:dyDescent="0.25">
      <c r="A177" s="13">
        <v>8003879954</v>
      </c>
      <c r="B177" s="13">
        <v>22</v>
      </c>
      <c r="C177" s="13">
        <v>1112017</v>
      </c>
      <c r="D177" s="13">
        <v>489</v>
      </c>
      <c r="E177" s="13" t="str">
        <f>"OTHER TRANSFER FEE"</f>
        <v>OTHER TRANSFER FEE</v>
      </c>
      <c r="F177" s="13">
        <v>9938</v>
      </c>
      <c r="G177" s="13" t="str">
        <f>"22505055"</f>
        <v>22505055</v>
      </c>
      <c r="H177" s="14">
        <v>0.1</v>
      </c>
      <c r="I177" s="13" t="s">
        <v>28</v>
      </c>
      <c r="J177" s="14">
        <v>476331.71</v>
      </c>
      <c r="K177" s="13" t="s">
        <v>26</v>
      </c>
      <c r="L177" s="13">
        <v>162753</v>
      </c>
      <c r="M177" s="13" t="str">
        <f>"PGTEFT2718          PCET"</f>
        <v>PGTEFT2718          PCET</v>
      </c>
      <c r="O177" s="13">
        <v>1</v>
      </c>
    </row>
    <row r="178" spans="1:17" s="13" customFormat="1" hidden="1" x14ac:dyDescent="0.25">
      <c r="A178" s="13">
        <v>8003879954</v>
      </c>
      <c r="B178" s="13">
        <v>21</v>
      </c>
      <c r="C178" s="13">
        <v>1112017</v>
      </c>
      <c r="D178" s="13">
        <v>341</v>
      </c>
      <c r="E178" s="13" t="str">
        <f>"TR IBG"</f>
        <v>TR IBG</v>
      </c>
      <c r="F178" s="13">
        <v>9938</v>
      </c>
      <c r="G178" s="13" t="str">
        <f>"22505390"</f>
        <v>22505390</v>
      </c>
      <c r="H178" s="14">
        <v>1000</v>
      </c>
      <c r="I178" s="13" t="s">
        <v>28</v>
      </c>
      <c r="J178" s="14">
        <v>476331.81</v>
      </c>
      <c r="K178" s="13" t="s">
        <v>26</v>
      </c>
      <c r="L178" s="13">
        <v>162753</v>
      </c>
      <c r="M178" s="13" t="str">
        <f>"KDU COLLEGE (PG) SDN"</f>
        <v>KDU COLLEGE (PG) SDN</v>
      </c>
      <c r="O178" s="13">
        <v>1</v>
      </c>
      <c r="P178" s="13" t="str">
        <f>"PGTEFT2716"</f>
        <v>PGTEFT2716</v>
      </c>
      <c r="Q178" s="13" t="str">
        <f>"PCET"</f>
        <v>PCET</v>
      </c>
    </row>
    <row r="179" spans="1:17" s="13" customFormat="1" x14ac:dyDescent="0.25">
      <c r="A179" s="13">
        <v>8003879954</v>
      </c>
      <c r="B179" s="13">
        <v>20</v>
      </c>
      <c r="C179" s="13">
        <v>1112017</v>
      </c>
      <c r="D179" s="13">
        <v>299</v>
      </c>
      <c r="E179" s="13" t="str">
        <f>"GST"</f>
        <v>GST</v>
      </c>
      <c r="F179" s="13">
        <v>9938</v>
      </c>
      <c r="G179" s="13" t="str">
        <f>"22505390"</f>
        <v>22505390</v>
      </c>
      <c r="H179" s="14">
        <v>0.01</v>
      </c>
      <c r="I179" s="13" t="s">
        <v>28</v>
      </c>
      <c r="J179" s="14">
        <v>477331.81</v>
      </c>
      <c r="K179" s="13" t="s">
        <v>26</v>
      </c>
      <c r="L179" s="13">
        <v>162753</v>
      </c>
      <c r="M179" s="13" t="str">
        <f>"PGTEFT2716          PCET"</f>
        <v>PGTEFT2716          PCET</v>
      </c>
      <c r="O179" s="13">
        <v>1</v>
      </c>
    </row>
    <row r="180" spans="1:17" s="13" customFormat="1" hidden="1" x14ac:dyDescent="0.25">
      <c r="A180" s="13">
        <v>8003879954</v>
      </c>
      <c r="B180" s="13">
        <v>19</v>
      </c>
      <c r="C180" s="13">
        <v>1112017</v>
      </c>
      <c r="D180" s="13">
        <v>489</v>
      </c>
      <c r="E180" s="13" t="str">
        <f>"OTHER TRANSFER FEE"</f>
        <v>OTHER TRANSFER FEE</v>
      </c>
      <c r="F180" s="13">
        <v>9938</v>
      </c>
      <c r="G180" s="13" t="str">
        <f>"22505390"</f>
        <v>22505390</v>
      </c>
      <c r="H180" s="14">
        <v>0.1</v>
      </c>
      <c r="I180" s="13" t="s">
        <v>28</v>
      </c>
      <c r="J180" s="14">
        <v>477331.82</v>
      </c>
      <c r="K180" s="13" t="s">
        <v>26</v>
      </c>
      <c r="L180" s="13">
        <v>162753</v>
      </c>
      <c r="M180" s="13" t="str">
        <f>"PGTEFT2716          PCET"</f>
        <v>PGTEFT2716          PCET</v>
      </c>
      <c r="O180" s="13">
        <v>1</v>
      </c>
    </row>
    <row r="181" spans="1:17" s="13" customFormat="1" hidden="1" x14ac:dyDescent="0.25">
      <c r="A181" s="13">
        <v>8003879954</v>
      </c>
      <c r="B181" s="13">
        <v>18</v>
      </c>
      <c r="C181" s="13">
        <v>1112017</v>
      </c>
      <c r="D181" s="13">
        <v>341</v>
      </c>
      <c r="E181" s="13" t="str">
        <f>"TR IBG"</f>
        <v>TR IBG</v>
      </c>
      <c r="F181" s="13">
        <v>9938</v>
      </c>
      <c r="G181" s="13" t="str">
        <f>"22521276"</f>
        <v>22521276</v>
      </c>
      <c r="H181" s="14">
        <v>362.09</v>
      </c>
      <c r="I181" s="13" t="s">
        <v>28</v>
      </c>
      <c r="J181" s="14">
        <v>477331.92</v>
      </c>
      <c r="K181" s="13" t="s">
        <v>26</v>
      </c>
      <c r="L181" s="13">
        <v>162752</v>
      </c>
      <c r="M181" s="13" t="str">
        <f>"AKAUN PUNGUTAN POTON"</f>
        <v>AKAUN PUNGUTAN POTON</v>
      </c>
      <c r="O181" s="13">
        <v>1</v>
      </c>
      <c r="P181" s="13" t="str">
        <f>"PGTEFT2708"</f>
        <v>PGTEFT2708</v>
      </c>
      <c r="Q181" s="13" t="str">
        <f>"PTPTN LOAN"</f>
        <v>PTPTN LOAN</v>
      </c>
    </row>
    <row r="182" spans="1:17" s="13" customFormat="1" x14ac:dyDescent="0.25">
      <c r="A182" s="13">
        <v>8003879954</v>
      </c>
      <c r="B182" s="13">
        <v>17</v>
      </c>
      <c r="C182" s="13">
        <v>1112017</v>
      </c>
      <c r="D182" s="13">
        <v>299</v>
      </c>
      <c r="E182" s="13" t="str">
        <f>"GST"</f>
        <v>GST</v>
      </c>
      <c r="F182" s="13">
        <v>9938</v>
      </c>
      <c r="G182" s="13" t="str">
        <f>"22521276"</f>
        <v>22521276</v>
      </c>
      <c r="H182" s="14">
        <v>0.01</v>
      </c>
      <c r="I182" s="13" t="s">
        <v>28</v>
      </c>
      <c r="J182" s="14">
        <v>477694.01</v>
      </c>
      <c r="K182" s="13" t="s">
        <v>26</v>
      </c>
      <c r="L182" s="13">
        <v>162752</v>
      </c>
      <c r="M182" s="13" t="str">
        <f>"PGTEFT2708          PTPTN LOAN"</f>
        <v>PGTEFT2708          PTPTN LOAN</v>
      </c>
      <c r="O182" s="13">
        <v>1</v>
      </c>
    </row>
    <row r="183" spans="1:17" s="13" customFormat="1" hidden="1" x14ac:dyDescent="0.25">
      <c r="A183" s="13">
        <v>8003879954</v>
      </c>
      <c r="B183" s="13">
        <v>16</v>
      </c>
      <c r="C183" s="13">
        <v>1112017</v>
      </c>
      <c r="D183" s="13">
        <v>489</v>
      </c>
      <c r="E183" s="13" t="str">
        <f>"OTHER TRANSFER FEE"</f>
        <v>OTHER TRANSFER FEE</v>
      </c>
      <c r="F183" s="13">
        <v>9938</v>
      </c>
      <c r="G183" s="13" t="str">
        <f>"22521276"</f>
        <v>22521276</v>
      </c>
      <c r="H183" s="14">
        <v>0.1</v>
      </c>
      <c r="I183" s="13" t="s">
        <v>28</v>
      </c>
      <c r="J183" s="14">
        <v>477694.02</v>
      </c>
      <c r="K183" s="13" t="s">
        <v>26</v>
      </c>
      <c r="L183" s="13">
        <v>162752</v>
      </c>
      <c r="M183" s="13" t="str">
        <f>"PGTEFT2708          PTPTN LOAN"</f>
        <v>PGTEFT2708          PTPTN LOAN</v>
      </c>
      <c r="O183" s="13">
        <v>1</v>
      </c>
    </row>
    <row r="184" spans="1:17" s="13" customFormat="1" hidden="1" x14ac:dyDescent="0.25">
      <c r="A184" s="13">
        <v>8003879954</v>
      </c>
      <c r="B184" s="13">
        <v>15</v>
      </c>
      <c r="C184" s="13">
        <v>1112017</v>
      </c>
      <c r="D184" s="13">
        <v>341</v>
      </c>
      <c r="E184" s="13" t="str">
        <f>"TR IBG"</f>
        <v>TR IBG</v>
      </c>
      <c r="F184" s="13">
        <v>9938</v>
      </c>
      <c r="G184" s="13" t="str">
        <f>"22506035"</f>
        <v>22506035</v>
      </c>
      <c r="H184" s="14">
        <v>4829.34</v>
      </c>
      <c r="I184" s="13" t="s">
        <v>28</v>
      </c>
      <c r="J184" s="14">
        <v>477694.12</v>
      </c>
      <c r="K184" s="13" t="s">
        <v>26</v>
      </c>
      <c r="L184" s="13">
        <v>162751</v>
      </c>
      <c r="M184" s="13" t="str">
        <f>"ELITE TRANSLATION AS"</f>
        <v>ELITE TRANSLATION AS</v>
      </c>
      <c r="O184" s="13">
        <v>1</v>
      </c>
      <c r="P184" s="13" t="str">
        <f>"PGTEFT2710"</f>
        <v>PGTEFT2710</v>
      </c>
      <c r="Q184" s="13" t="str">
        <f>"S17101200"</f>
        <v>S17101200</v>
      </c>
    </row>
    <row r="185" spans="1:17" s="13" customFormat="1" x14ac:dyDescent="0.25">
      <c r="A185" s="13">
        <v>8003879954</v>
      </c>
      <c r="B185" s="13">
        <v>14</v>
      </c>
      <c r="C185" s="13">
        <v>1112017</v>
      </c>
      <c r="D185" s="13">
        <v>299</v>
      </c>
      <c r="E185" s="13" t="str">
        <f>"GST"</f>
        <v>GST</v>
      </c>
      <c r="F185" s="13">
        <v>9938</v>
      </c>
      <c r="G185" s="13" t="str">
        <f>"22506035"</f>
        <v>22506035</v>
      </c>
      <c r="H185" s="14">
        <v>0.01</v>
      </c>
      <c r="I185" s="13" t="s">
        <v>28</v>
      </c>
      <c r="J185" s="14">
        <v>482523.46</v>
      </c>
      <c r="K185" s="13" t="s">
        <v>26</v>
      </c>
      <c r="L185" s="13">
        <v>162751</v>
      </c>
      <c r="M185" s="13" t="str">
        <f>"PGTEFT2710          S17101200"</f>
        <v>PGTEFT2710          S17101200</v>
      </c>
      <c r="O185" s="13">
        <v>1</v>
      </c>
    </row>
    <row r="186" spans="1:17" s="13" customFormat="1" hidden="1" x14ac:dyDescent="0.25">
      <c r="A186" s="13">
        <v>8003879954</v>
      </c>
      <c r="B186" s="13">
        <v>13</v>
      </c>
      <c r="C186" s="13">
        <v>1112017</v>
      </c>
      <c r="D186" s="13">
        <v>489</v>
      </c>
      <c r="E186" s="13" t="str">
        <f>"OTHER TRANSFER FEE"</f>
        <v>OTHER TRANSFER FEE</v>
      </c>
      <c r="F186" s="13">
        <v>9938</v>
      </c>
      <c r="G186" s="13" t="str">
        <f>"22506035"</f>
        <v>22506035</v>
      </c>
      <c r="H186" s="14">
        <v>0.1</v>
      </c>
      <c r="I186" s="13" t="s">
        <v>28</v>
      </c>
      <c r="J186" s="14">
        <v>482523.47</v>
      </c>
      <c r="K186" s="13" t="s">
        <v>26</v>
      </c>
      <c r="L186" s="13">
        <v>162751</v>
      </c>
      <c r="M186" s="13" t="str">
        <f>"PGTEFT2710          S17101200"</f>
        <v>PGTEFT2710          S17101200</v>
      </c>
      <c r="O186" s="13">
        <v>1</v>
      </c>
    </row>
    <row r="187" spans="1:17" s="13" customFormat="1" hidden="1" x14ac:dyDescent="0.25">
      <c r="A187" s="13">
        <v>8003879954</v>
      </c>
      <c r="B187" s="13">
        <v>12</v>
      </c>
      <c r="C187" s="13">
        <v>1112017</v>
      </c>
      <c r="D187" s="13">
        <v>60</v>
      </c>
      <c r="E187" s="13" t="str">
        <f>"TR TO C/A"</f>
        <v>TR TO C/A</v>
      </c>
      <c r="F187" s="13">
        <v>9938</v>
      </c>
      <c r="G187" s="13" t="str">
        <f>"22505676"</f>
        <v>22505676</v>
      </c>
      <c r="H187" s="14">
        <v>5300</v>
      </c>
      <c r="I187" s="13" t="s">
        <v>28</v>
      </c>
      <c r="J187" s="14">
        <v>482523.57</v>
      </c>
      <c r="K187" s="13" t="s">
        <v>26</v>
      </c>
      <c r="L187" s="13">
        <v>162751</v>
      </c>
      <c r="M187" s="13" t="str">
        <f>"LED - OCT'17 PERFORMANCE PLUS MA"</f>
        <v>LED - OCT'17 PERFORMANCE PLUS MA</v>
      </c>
      <c r="O187" s="13">
        <v>1</v>
      </c>
      <c r="P187" s="13" t="str">
        <f>"PGTEFT2714"</f>
        <v>PGTEFT2714</v>
      </c>
      <c r="Q187" s="13" t="str">
        <f>"PPM17-10-02 AND 03"</f>
        <v>PPM17-10-02 AND 03</v>
      </c>
    </row>
    <row r="188" spans="1:17" s="13" customFormat="1" hidden="1" x14ac:dyDescent="0.25">
      <c r="A188" s="13">
        <v>8003879954</v>
      </c>
      <c r="B188" s="13">
        <v>11</v>
      </c>
      <c r="C188" s="13">
        <v>1112017</v>
      </c>
      <c r="D188" s="13">
        <v>60</v>
      </c>
      <c r="E188" s="13" t="str">
        <f>"TR TO C/A"</f>
        <v>TR TO C/A</v>
      </c>
      <c r="F188" s="13">
        <v>9938</v>
      </c>
      <c r="G188" s="13" t="str">
        <f>"22505221"</f>
        <v>22505221</v>
      </c>
      <c r="H188" s="14">
        <v>1000</v>
      </c>
      <c r="I188" s="13" t="s">
        <v>28</v>
      </c>
      <c r="J188" s="14">
        <v>487823.57</v>
      </c>
      <c r="K188" s="13" t="s">
        <v>26</v>
      </c>
      <c r="L188" s="13">
        <v>162747</v>
      </c>
      <c r="M188" s="13" t="str">
        <f>"PP EXHIBITION REFUND DISTED PULAU PINANG"</f>
        <v>PP EXHIBITION REFUND DISTED PULAU PINANG</v>
      </c>
      <c r="O188" s="13">
        <v>1</v>
      </c>
      <c r="P188" s="13" t="str">
        <f>"PGTEFT2717"</f>
        <v>PGTEFT2717</v>
      </c>
      <c r="Q188" s="13" t="str">
        <f>"PCET"</f>
        <v>PCET</v>
      </c>
    </row>
    <row r="189" spans="1:17" s="13" customFormat="1" hidden="1" x14ac:dyDescent="0.25">
      <c r="A189" s="13">
        <v>8003879954</v>
      </c>
      <c r="B189" s="13">
        <v>10</v>
      </c>
      <c r="C189" s="13">
        <v>1112017</v>
      </c>
      <c r="D189" s="13">
        <v>341</v>
      </c>
      <c r="E189" s="13" t="str">
        <f>"TR IBG"</f>
        <v>TR IBG</v>
      </c>
      <c r="F189" s="13">
        <v>9938</v>
      </c>
      <c r="G189" s="13" t="str">
        <f>"22505558"</f>
        <v>22505558</v>
      </c>
      <c r="H189" s="14">
        <v>1728.37</v>
      </c>
      <c r="I189" s="13" t="s">
        <v>28</v>
      </c>
      <c r="J189" s="14">
        <v>488823.57</v>
      </c>
      <c r="K189" s="13" t="s">
        <v>26</v>
      </c>
      <c r="L189" s="13">
        <v>162747</v>
      </c>
      <c r="M189" s="13" t="str">
        <f>"TNT EXPRESS WORLDWID"</f>
        <v>TNT EXPRESS WORLDWID</v>
      </c>
      <c r="O189" s="13">
        <v>1</v>
      </c>
      <c r="P189" s="13" t="str">
        <f>"PGTEFT2715"</f>
        <v>PGTEFT2715</v>
      </c>
      <c r="Q189" s="13" t="str">
        <f>"ACC233560"</f>
        <v>ACC233560</v>
      </c>
    </row>
    <row r="190" spans="1:17" s="13" customFormat="1" x14ac:dyDescent="0.25">
      <c r="A190" s="13">
        <v>8003879954</v>
      </c>
      <c r="B190" s="13">
        <v>9</v>
      </c>
      <c r="C190" s="13">
        <v>1112017</v>
      </c>
      <c r="D190" s="13">
        <v>299</v>
      </c>
      <c r="E190" s="13" t="str">
        <f>"GST"</f>
        <v>GST</v>
      </c>
      <c r="F190" s="13">
        <v>9938</v>
      </c>
      <c r="G190" s="13" t="str">
        <f>"22505558"</f>
        <v>22505558</v>
      </c>
      <c r="H190" s="14">
        <v>0.01</v>
      </c>
      <c r="I190" s="13" t="s">
        <v>28</v>
      </c>
      <c r="J190" s="14">
        <v>490551.94</v>
      </c>
      <c r="K190" s="13" t="s">
        <v>26</v>
      </c>
      <c r="L190" s="13">
        <v>162747</v>
      </c>
      <c r="M190" s="13" t="str">
        <f>"PGTEFT2715          ACC233560"</f>
        <v>PGTEFT2715          ACC233560</v>
      </c>
      <c r="O190" s="13">
        <v>1</v>
      </c>
    </row>
    <row r="191" spans="1:17" s="13" customFormat="1" hidden="1" x14ac:dyDescent="0.25">
      <c r="A191" s="13">
        <v>8003879954</v>
      </c>
      <c r="B191" s="13">
        <v>8</v>
      </c>
      <c r="C191" s="13">
        <v>1112017</v>
      </c>
      <c r="D191" s="13">
        <v>489</v>
      </c>
      <c r="E191" s="13" t="str">
        <f>"OTHER TRANSFER FEE"</f>
        <v>OTHER TRANSFER FEE</v>
      </c>
      <c r="F191" s="13">
        <v>9938</v>
      </c>
      <c r="G191" s="13" t="str">
        <f>"22505558"</f>
        <v>22505558</v>
      </c>
      <c r="H191" s="14">
        <v>0.1</v>
      </c>
      <c r="I191" s="13" t="s">
        <v>28</v>
      </c>
      <c r="J191" s="14">
        <v>490551.95</v>
      </c>
      <c r="K191" s="13" t="s">
        <v>26</v>
      </c>
      <c r="L191" s="13">
        <v>162747</v>
      </c>
      <c r="M191" s="13" t="str">
        <f>"PGTEFT2715          ACC233560"</f>
        <v>PGTEFT2715          ACC233560</v>
      </c>
      <c r="O191" s="13">
        <v>1</v>
      </c>
    </row>
    <row r="192" spans="1:17" s="13" customFormat="1" hidden="1" x14ac:dyDescent="0.25">
      <c r="A192" s="13">
        <v>8003879954</v>
      </c>
      <c r="B192" s="13">
        <v>7</v>
      </c>
      <c r="C192" s="13">
        <v>1112017</v>
      </c>
      <c r="D192" s="13">
        <v>341</v>
      </c>
      <c r="E192" s="13" t="str">
        <f>"TR IBG"</f>
        <v>TR IBG</v>
      </c>
      <c r="F192" s="13">
        <v>9938</v>
      </c>
      <c r="G192" s="13" t="str">
        <f>"22521689"</f>
        <v>22521689</v>
      </c>
      <c r="H192" s="14">
        <v>90</v>
      </c>
      <c r="I192" s="13" t="s">
        <v>28</v>
      </c>
      <c r="J192" s="14">
        <v>490552.05</v>
      </c>
      <c r="K192" s="13" t="s">
        <v>26</v>
      </c>
      <c r="L192" s="13">
        <v>162745</v>
      </c>
      <c r="M192" s="13" t="str">
        <f>"LIANG CHOW MING"</f>
        <v>LIANG CHOW MING</v>
      </c>
      <c r="O192" s="13">
        <v>1</v>
      </c>
      <c r="P192" s="13" t="str">
        <f>"PGTEFT2711"</f>
        <v>PGTEFT2711</v>
      </c>
      <c r="Q192" s="13" t="str">
        <f>"INV19545"</f>
        <v>INV19545</v>
      </c>
    </row>
    <row r="193" spans="1:18" s="13" customFormat="1" x14ac:dyDescent="0.25">
      <c r="A193" s="13">
        <v>8003879954</v>
      </c>
      <c r="B193" s="13">
        <v>6</v>
      </c>
      <c r="C193" s="13">
        <v>1112017</v>
      </c>
      <c r="D193" s="13">
        <v>299</v>
      </c>
      <c r="E193" s="13" t="str">
        <f>"GST"</f>
        <v>GST</v>
      </c>
      <c r="F193" s="13">
        <v>9938</v>
      </c>
      <c r="G193" s="13" t="str">
        <f>"22521689"</f>
        <v>22521689</v>
      </c>
      <c r="H193" s="14">
        <v>0.01</v>
      </c>
      <c r="I193" s="13" t="s">
        <v>28</v>
      </c>
      <c r="J193" s="14">
        <v>490642.05</v>
      </c>
      <c r="K193" s="13" t="s">
        <v>26</v>
      </c>
      <c r="L193" s="13">
        <v>162745</v>
      </c>
      <c r="M193" s="13" t="str">
        <f>"PGTEFT2711          INV19545"</f>
        <v>PGTEFT2711          INV19545</v>
      </c>
      <c r="O193" s="13">
        <v>1</v>
      </c>
    </row>
    <row r="194" spans="1:18" s="13" customFormat="1" hidden="1" x14ac:dyDescent="0.25">
      <c r="A194" s="13">
        <v>8003879954</v>
      </c>
      <c r="B194" s="13">
        <v>5</v>
      </c>
      <c r="C194" s="13">
        <v>1112017</v>
      </c>
      <c r="D194" s="13">
        <v>489</v>
      </c>
      <c r="E194" s="13" t="str">
        <f>"OTHER TRANSFER FEE"</f>
        <v>OTHER TRANSFER FEE</v>
      </c>
      <c r="F194" s="13">
        <v>9938</v>
      </c>
      <c r="G194" s="13" t="str">
        <f>"22521689"</f>
        <v>22521689</v>
      </c>
      <c r="H194" s="14">
        <v>0.1</v>
      </c>
      <c r="I194" s="13" t="s">
        <v>28</v>
      </c>
      <c r="J194" s="14">
        <v>490642.06</v>
      </c>
      <c r="K194" s="13" t="s">
        <v>26</v>
      </c>
      <c r="L194" s="13">
        <v>162745</v>
      </c>
      <c r="M194" s="13" t="str">
        <f>"PGTEFT2711          INV19545"</f>
        <v>PGTEFT2711          INV19545</v>
      </c>
      <c r="O194" s="13">
        <v>1</v>
      </c>
    </row>
    <row r="195" spans="1:18" s="13" customFormat="1" hidden="1" x14ac:dyDescent="0.25">
      <c r="A195" s="13">
        <v>8003879954</v>
      </c>
      <c r="B195" s="13">
        <v>4</v>
      </c>
      <c r="C195" s="13">
        <v>1112017</v>
      </c>
      <c r="D195" s="13">
        <v>341</v>
      </c>
      <c r="E195" s="13" t="str">
        <f>"TR IBG"</f>
        <v>TR IBG</v>
      </c>
      <c r="F195" s="13">
        <v>9938</v>
      </c>
      <c r="G195" s="13" t="str">
        <f>"22506419"</f>
        <v>22506419</v>
      </c>
      <c r="H195" s="14">
        <v>1000</v>
      </c>
      <c r="I195" s="13" t="s">
        <v>28</v>
      </c>
      <c r="J195" s="14">
        <v>490642.16</v>
      </c>
      <c r="K195" s="13" t="s">
        <v>26</v>
      </c>
      <c r="L195" s="13">
        <v>162745</v>
      </c>
      <c r="M195" s="13" t="str">
        <f>"LEE TER YI"</f>
        <v>LEE TER YI</v>
      </c>
      <c r="O195" s="13">
        <v>1</v>
      </c>
      <c r="P195" s="13" t="str">
        <f>"PGTEFT2712"</f>
        <v>PGTEFT2712</v>
      </c>
      <c r="Q195" s="13" t="str">
        <f>"INV20171018001"</f>
        <v>INV20171018001</v>
      </c>
    </row>
    <row r="196" spans="1:18" s="13" customFormat="1" x14ac:dyDescent="0.25">
      <c r="A196" s="13">
        <v>8003879954</v>
      </c>
      <c r="B196" s="13">
        <v>3</v>
      </c>
      <c r="C196" s="13">
        <v>1112017</v>
      </c>
      <c r="D196" s="13">
        <v>299</v>
      </c>
      <c r="E196" s="13" t="str">
        <f>"GST"</f>
        <v>GST</v>
      </c>
      <c r="F196" s="13">
        <v>9938</v>
      </c>
      <c r="G196" s="13" t="str">
        <f>"22506419"</f>
        <v>22506419</v>
      </c>
      <c r="H196" s="14">
        <v>0.01</v>
      </c>
      <c r="I196" s="13" t="s">
        <v>28</v>
      </c>
      <c r="J196" s="14">
        <v>491642.16</v>
      </c>
      <c r="K196" s="13" t="s">
        <v>26</v>
      </c>
      <c r="L196" s="13">
        <v>162745</v>
      </c>
      <c r="M196" s="13" t="str">
        <f>"PGTEFT2712          INV20171018001"</f>
        <v>PGTEFT2712          INV20171018001</v>
      </c>
      <c r="O196" s="13">
        <v>1</v>
      </c>
    </row>
    <row r="197" spans="1:18" s="13" customFormat="1" hidden="1" x14ac:dyDescent="0.25">
      <c r="A197" s="13">
        <v>8003879954</v>
      </c>
      <c r="B197" s="13">
        <v>2</v>
      </c>
      <c r="C197" s="13">
        <v>1112017</v>
      </c>
      <c r="D197" s="13">
        <v>489</v>
      </c>
      <c r="E197" s="13" t="str">
        <f>"OTHER TRANSFER FEE"</f>
        <v>OTHER TRANSFER FEE</v>
      </c>
      <c r="F197" s="13">
        <v>9938</v>
      </c>
      <c r="G197" s="13" t="str">
        <f>"22506419"</f>
        <v>22506419</v>
      </c>
      <c r="H197" s="14">
        <v>0.1</v>
      </c>
      <c r="I197" s="13" t="s">
        <v>28</v>
      </c>
      <c r="J197" s="14">
        <v>491642.17</v>
      </c>
      <c r="K197" s="13" t="s">
        <v>26</v>
      </c>
      <c r="L197" s="13">
        <v>162745</v>
      </c>
      <c r="M197" s="13" t="str">
        <f>"PGTEFT2712          INV20171018001"</f>
        <v>PGTEFT2712          INV20171018001</v>
      </c>
      <c r="O197" s="13">
        <v>1</v>
      </c>
    </row>
    <row r="198" spans="1:18" s="13" customFormat="1" hidden="1" x14ac:dyDescent="0.25">
      <c r="A198" s="13">
        <v>8003879954</v>
      </c>
      <c r="B198" s="13">
        <v>1</v>
      </c>
      <c r="C198" s="13">
        <v>1112017</v>
      </c>
      <c r="D198" s="13">
        <v>345</v>
      </c>
      <c r="E198" s="13" t="str">
        <f>"TR TO SAVINGS"</f>
        <v>TR TO SAVINGS</v>
      </c>
      <c r="F198" s="13">
        <v>9938</v>
      </c>
      <c r="G198" s="13" t="str">
        <f>"22505811"</f>
        <v>22505811</v>
      </c>
      <c r="H198" s="14">
        <v>513.27</v>
      </c>
      <c r="I198" s="13" t="s">
        <v>28</v>
      </c>
      <c r="J198" s="14">
        <v>491642.27</v>
      </c>
      <c r="K198" s="13" t="s">
        <v>26</v>
      </c>
      <c r="L198" s="13">
        <v>162745</v>
      </c>
      <c r="M198" s="13" t="str">
        <f>"KL MEETING &amp; AIRPORT NG CHUN HOW"</f>
        <v>KL MEETING &amp; AIRPORT NG CHUN HOW</v>
      </c>
      <c r="O198" s="13">
        <v>1</v>
      </c>
      <c r="P198" s="13" t="str">
        <f>"PGTEFT2713"</f>
        <v>PGTEFT2713</v>
      </c>
      <c r="Q198" s="13" t="str">
        <f>"CLAIMS"</f>
        <v>CLAIMS</v>
      </c>
    </row>
    <row r="199" spans="1:18" s="13" customFormat="1" hidden="1" x14ac:dyDescent="0.25">
      <c r="H199" s="14"/>
      <c r="J199" s="14"/>
      <c r="O199" s="13">
        <v>1</v>
      </c>
    </row>
    <row r="200" spans="1:18" s="13" customFormat="1" hidden="1" x14ac:dyDescent="0.25">
      <c r="H200" s="14"/>
      <c r="J200" s="14"/>
      <c r="O200" s="13">
        <v>1</v>
      </c>
      <c r="P200" s="13" t="str">
        <f>"PIEF adv claim"</f>
        <v>PIEF adv claim</v>
      </c>
      <c r="Q200" s="13" t="str">
        <f>"Return"</f>
        <v>Return</v>
      </c>
      <c r="R200" s="13" t="str">
        <f>"NG CHUN HOW"</f>
        <v>NG CHUN HOW</v>
      </c>
    </row>
    <row r="201" spans="1:18" hidden="1" x14ac:dyDescent="0.25"/>
    <row r="203" spans="1:18" x14ac:dyDescent="0.25">
      <c r="H203" s="10">
        <f>SUBTOTAL(9,H10:H202)</f>
        <v>3.0299999999999896</v>
      </c>
    </row>
  </sheetData>
  <autoFilter ref="A8:M201">
    <filterColumn colId="4">
      <filters>
        <filter val="GST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Mar</vt:lpstr>
      <vt:lpstr>Apr</vt:lpstr>
      <vt:lpstr>May</vt:lpstr>
      <vt:lpstr>June</vt:lpstr>
      <vt:lpstr>July</vt:lpstr>
      <vt:lpstr>Aug</vt:lpstr>
      <vt:lpstr>Sept</vt:lpstr>
      <vt:lpstr>Oct</vt:lpstr>
      <vt:lpstr> Nov</vt:lpstr>
      <vt:lpstr>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2017-03-24T04:27:39Z</dcterms:created>
  <dcterms:modified xsi:type="dcterms:W3CDTF">2018-01-22T06:55:28Z</dcterms:modified>
</cp:coreProperties>
</file>