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2017'!$A$4:$Q$261</definedName>
    <definedName name="_xlnm.Print_Area" localSheetId="1">Dashboards!$A$1:$Q$138</definedName>
    <definedName name="_xlnm.Print_Titles" localSheetId="0">'Budget Tracking for 2017'!$1:$4</definedName>
  </definedNames>
  <calcPr calcId="162913"/>
  <fileRecoveryPr autoRecover="0"/>
</workbook>
</file>

<file path=xl/calcChain.xml><?xml version="1.0" encoding="utf-8"?>
<calcChain xmlns="http://schemas.openxmlformats.org/spreadsheetml/2006/main">
  <c r="O234" i="3" l="1"/>
  <c r="O112" i="3" l="1"/>
  <c r="O123" i="3"/>
  <c r="O162" i="3"/>
  <c r="Q213" i="3"/>
  <c r="R213" i="3" s="1"/>
  <c r="Q214" i="3"/>
  <c r="Q215" i="3"/>
  <c r="Q216" i="3"/>
  <c r="Q217" i="3"/>
  <c r="Q218" i="3"/>
  <c r="Q219" i="3"/>
  <c r="Q220" i="3"/>
  <c r="Q221" i="3"/>
  <c r="Q222" i="3"/>
  <c r="Q223" i="3"/>
  <c r="Q224" i="3"/>
  <c r="Q226" i="3"/>
  <c r="Q227" i="3"/>
  <c r="Q228" i="3"/>
  <c r="Q229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12" i="3"/>
  <c r="P271" i="3"/>
  <c r="P272" i="3"/>
  <c r="P273" i="3"/>
  <c r="P274" i="3"/>
  <c r="P275" i="3"/>
  <c r="P276" i="3"/>
  <c r="P277" i="3"/>
  <c r="P278" i="3"/>
  <c r="P270" i="3"/>
  <c r="Q270" i="3"/>
  <c r="O172" i="3"/>
  <c r="O225" i="3"/>
  <c r="Q225" i="3" s="1"/>
  <c r="Q150" i="3"/>
  <c r="Q153" i="3"/>
  <c r="R153" i="3" s="1"/>
  <c r="S153" i="3" s="1"/>
  <c r="S136" i="3"/>
  <c r="S149" i="3"/>
  <c r="S154" i="3"/>
  <c r="S156" i="3"/>
  <c r="S90" i="3"/>
  <c r="S66" i="3"/>
  <c r="Q104" i="3"/>
  <c r="R104" i="3" s="1"/>
  <c r="S104" i="3" s="1"/>
  <c r="P199" i="3"/>
  <c r="P200" i="3"/>
  <c r="P201" i="3"/>
  <c r="P202" i="3"/>
  <c r="P203" i="3"/>
  <c r="P204" i="3"/>
  <c r="P205" i="3"/>
  <c r="P206" i="3"/>
  <c r="P198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252" i="3"/>
  <c r="P251" i="3"/>
  <c r="P250" i="3"/>
  <c r="P249" i="3"/>
  <c r="P242" i="3"/>
  <c r="P241" i="3"/>
  <c r="P235" i="3"/>
  <c r="P234" i="3"/>
  <c r="P155" i="3"/>
  <c r="P153" i="3"/>
  <c r="P152" i="3"/>
  <c r="P151" i="3"/>
  <c r="P150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96" i="3"/>
  <c r="P97" i="3"/>
  <c r="P98" i="3"/>
  <c r="P95" i="3"/>
  <c r="P87" i="3"/>
  <c r="P70" i="3"/>
  <c r="P89" i="3"/>
  <c r="P88" i="3"/>
  <c r="P81" i="3"/>
  <c r="P80" i="3"/>
  <c r="P79" i="3"/>
  <c r="P78" i="3"/>
  <c r="P77" i="3"/>
  <c r="P76" i="3"/>
  <c r="P75" i="3"/>
  <c r="P74" i="3"/>
  <c r="P73" i="3"/>
  <c r="P72" i="3"/>
  <c r="P71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2" i="3"/>
  <c r="P41" i="3"/>
  <c r="P39" i="3"/>
  <c r="P38" i="3"/>
  <c r="P37" i="3"/>
  <c r="P36" i="3"/>
  <c r="P35" i="3"/>
  <c r="P34" i="3"/>
  <c r="P33" i="3"/>
  <c r="P23" i="3"/>
  <c r="P24" i="3"/>
  <c r="P25" i="3"/>
  <c r="P26" i="3"/>
  <c r="P27" i="3"/>
  <c r="P28" i="3"/>
  <c r="P29" i="3"/>
  <c r="P30" i="3"/>
  <c r="P31" i="3"/>
  <c r="P32" i="3"/>
  <c r="P22" i="3"/>
  <c r="P9" i="3"/>
  <c r="P11" i="3"/>
  <c r="P12" i="3"/>
  <c r="P13" i="3"/>
  <c r="P8" i="3"/>
  <c r="Q272" i="3"/>
  <c r="N284" i="3" l="1"/>
  <c r="N280" i="3"/>
  <c r="N254" i="3"/>
  <c r="N244" i="3"/>
  <c r="N237" i="3"/>
  <c r="N230" i="3"/>
  <c r="N208" i="3"/>
  <c r="N194" i="3"/>
  <c r="N157" i="3"/>
  <c r="N83" i="3"/>
  <c r="N66" i="3"/>
  <c r="N265" i="3" l="1"/>
  <c r="N260" i="3"/>
  <c r="N286" i="3" s="1"/>
  <c r="S243" i="3"/>
  <c r="S207" i="3"/>
  <c r="S193" i="3"/>
  <c r="Q22" i="3"/>
  <c r="R22" i="3" s="1"/>
  <c r="S22" i="3" s="1"/>
  <c r="M280" i="3"/>
  <c r="M254" i="3"/>
  <c r="M244" i="3"/>
  <c r="M237" i="3"/>
  <c r="M230" i="3"/>
  <c r="M208" i="3"/>
  <c r="M194" i="3"/>
  <c r="M100" i="3"/>
  <c r="M91" i="3"/>
  <c r="M83" i="3"/>
  <c r="M66" i="3"/>
  <c r="M157" i="3"/>
  <c r="P283" i="3"/>
  <c r="P284" i="3" s="1"/>
  <c r="E284" i="3"/>
  <c r="F284" i="3"/>
  <c r="G284" i="3"/>
  <c r="H284" i="3"/>
  <c r="I284" i="3"/>
  <c r="J284" i="3"/>
  <c r="K284" i="3"/>
  <c r="L284" i="3"/>
  <c r="M284" i="3"/>
  <c r="O284" i="3"/>
  <c r="D284" i="3"/>
  <c r="Q283" i="3"/>
  <c r="Q284" i="3" s="1"/>
  <c r="N263" i="3" l="1"/>
  <c r="R283" i="3"/>
  <c r="M260" i="3"/>
  <c r="M286" i="3" s="1"/>
  <c r="M265" i="3"/>
  <c r="M263" i="3" l="1"/>
  <c r="P149" i="3"/>
  <c r="Q136" i="3" l="1"/>
  <c r="Q34" i="3" l="1"/>
  <c r="Q80" i="3"/>
  <c r="R270" i="3" l="1"/>
  <c r="R223" i="3"/>
  <c r="S223" i="3" s="1"/>
  <c r="Q152" i="3"/>
  <c r="R152" i="3" s="1"/>
  <c r="S152" i="3" s="1"/>
  <c r="C155" i="3"/>
  <c r="Q119" i="3"/>
  <c r="R119" i="3" s="1"/>
  <c r="S119" i="3" s="1"/>
  <c r="Q116" i="3"/>
  <c r="R116" i="3" s="1"/>
  <c r="S116" i="3" s="1"/>
  <c r="C113" i="3"/>
  <c r="Q63" i="3"/>
  <c r="R63" i="3" s="1"/>
  <c r="S63" i="3" s="1"/>
  <c r="Q166" i="3"/>
  <c r="R166" i="3" s="1"/>
  <c r="S166" i="3" s="1"/>
  <c r="Q120" i="3"/>
  <c r="R120" i="3" s="1"/>
  <c r="S120" i="3" s="1"/>
  <c r="L280" i="3" l="1"/>
  <c r="L259" i="3"/>
  <c r="L254" i="3"/>
  <c r="L244" i="3"/>
  <c r="L237" i="3"/>
  <c r="L230" i="3"/>
  <c r="L208" i="3"/>
  <c r="L194" i="3"/>
  <c r="L157" i="3"/>
  <c r="L100" i="3"/>
  <c r="L91" i="3"/>
  <c r="L83" i="3"/>
  <c r="L66" i="3"/>
  <c r="L265" i="3" l="1"/>
  <c r="L260" i="3"/>
  <c r="L286" i="3" s="1"/>
  <c r="Q275" i="3"/>
  <c r="R275" i="3" s="1"/>
  <c r="H280" i="3"/>
  <c r="L263" i="3" l="1"/>
  <c r="L290" i="3"/>
  <c r="Q9" i="3"/>
  <c r="D293" i="3" l="1"/>
  <c r="E293" i="3"/>
  <c r="G293" i="3"/>
  <c r="H293" i="3"/>
  <c r="I293" i="3"/>
  <c r="J293" i="3"/>
  <c r="F293" i="3"/>
  <c r="K254" i="3" l="1"/>
  <c r="Q249" i="3" l="1"/>
  <c r="Q8" i="3"/>
  <c r="I244" i="3"/>
  <c r="C244" i="3" l="1"/>
  <c r="C237" i="3"/>
  <c r="C230" i="3"/>
  <c r="C208" i="3"/>
  <c r="C194" i="3"/>
  <c r="C157" i="3"/>
  <c r="C100" i="3"/>
  <c r="C91" i="3"/>
  <c r="C83" i="3"/>
  <c r="C66" i="3"/>
  <c r="Q145" i="3"/>
  <c r="R145" i="3" s="1"/>
  <c r="S145" i="3" s="1"/>
  <c r="Q144" i="3"/>
  <c r="R144" i="3" s="1"/>
  <c r="S144" i="3" s="1"/>
  <c r="Q142" i="3"/>
  <c r="R142" i="3" s="1"/>
  <c r="S142" i="3" s="1"/>
  <c r="Q140" i="3"/>
  <c r="R140" i="3" s="1"/>
  <c r="S140" i="3" s="1"/>
  <c r="Q139" i="3"/>
  <c r="R139" i="3" s="1"/>
  <c r="S139" i="3" s="1"/>
  <c r="Q135" i="3"/>
  <c r="R135" i="3" s="1"/>
  <c r="S135" i="3" s="1"/>
  <c r="Q134" i="3"/>
  <c r="R134" i="3" s="1"/>
  <c r="S134" i="3" s="1"/>
  <c r="Q132" i="3"/>
  <c r="R132" i="3" s="1"/>
  <c r="S132" i="3" s="1"/>
  <c r="Q131" i="3"/>
  <c r="R131" i="3" s="1"/>
  <c r="S131" i="3" s="1"/>
  <c r="Q128" i="3"/>
  <c r="R128" i="3" s="1"/>
  <c r="S128" i="3" s="1"/>
  <c r="Q127" i="3"/>
  <c r="R127" i="3" s="1"/>
  <c r="S127" i="3" s="1"/>
  <c r="Q125" i="3"/>
  <c r="R125" i="3" s="1"/>
  <c r="S125" i="3" s="1"/>
  <c r="Q124" i="3"/>
  <c r="R124" i="3" s="1"/>
  <c r="S124" i="3" s="1"/>
  <c r="Q121" i="3"/>
  <c r="R121" i="3" s="1"/>
  <c r="S121" i="3" s="1"/>
  <c r="Q118" i="3"/>
  <c r="R118" i="3" s="1"/>
  <c r="S118" i="3" s="1"/>
  <c r="Q113" i="3"/>
  <c r="R113" i="3" s="1"/>
  <c r="S113" i="3" s="1"/>
  <c r="C280" i="3"/>
  <c r="C256" i="3" l="1"/>
  <c r="O208" i="3"/>
  <c r="O194" i="3"/>
  <c r="O157" i="3"/>
  <c r="O83" i="3"/>
  <c r="O66" i="3"/>
  <c r="O91" i="3"/>
  <c r="O100" i="3"/>
  <c r="I280" i="3"/>
  <c r="D261" i="3" l="1"/>
  <c r="E261" i="3"/>
  <c r="F10" i="3"/>
  <c r="P10" i="3" s="1"/>
  <c r="Q278" i="3" l="1"/>
  <c r="R278" i="3" s="1"/>
  <c r="Q277" i="3"/>
  <c r="R277" i="3" s="1"/>
  <c r="Q276" i="3"/>
  <c r="R276" i="3" s="1"/>
  <c r="Q273" i="3"/>
  <c r="R273" i="3" s="1"/>
  <c r="R272" i="3"/>
  <c r="K280" i="3" l="1"/>
  <c r="O280" i="3"/>
  <c r="J280" i="3"/>
  <c r="Q126" i="3" l="1"/>
  <c r="Q129" i="3"/>
  <c r="R129" i="3" s="1"/>
  <c r="S129" i="3" s="1"/>
  <c r="Q130" i="3"/>
  <c r="R249" i="3"/>
  <c r="D15" i="3"/>
  <c r="E15" i="3"/>
  <c r="E259" i="3" s="1"/>
  <c r="F15" i="3"/>
  <c r="G280" i="3"/>
  <c r="F280" i="3"/>
  <c r="F261" i="3"/>
  <c r="G261" i="3"/>
  <c r="H261" i="3"/>
  <c r="P261" i="3" l="1"/>
  <c r="D259" i="3"/>
  <c r="Q115" i="3"/>
  <c r="R115" i="3" s="1"/>
  <c r="S115" i="3" s="1"/>
  <c r="Q171" i="3"/>
  <c r="Q187" i="3" l="1"/>
  <c r="R187" i="3" s="1"/>
  <c r="S187" i="3" s="1"/>
  <c r="Q188" i="3"/>
  <c r="S213" i="3"/>
  <c r="R214" i="3"/>
  <c r="S214" i="3" s="1"/>
  <c r="R215" i="3"/>
  <c r="S215" i="3" s="1"/>
  <c r="R224" i="3"/>
  <c r="S224" i="3" s="1"/>
  <c r="Q185" i="3"/>
  <c r="R185" i="3" s="1"/>
  <c r="S185" i="3" s="1"/>
  <c r="Q186" i="3"/>
  <c r="R186" i="3" s="1"/>
  <c r="S186" i="3" s="1"/>
  <c r="Q146" i="3"/>
  <c r="R146" i="3" s="1"/>
  <c r="S146" i="3" s="1"/>
  <c r="O230" i="3" l="1"/>
  <c r="Q189" i="3"/>
  <c r="R189" i="3" s="1"/>
  <c r="S189" i="3" s="1"/>
  <c r="Q117" i="3" l="1"/>
  <c r="R117" i="3" s="1"/>
  <c r="S117" i="3" s="1"/>
  <c r="E280" i="3" l="1"/>
  <c r="D280" i="3"/>
  <c r="P280" i="3" l="1"/>
  <c r="Q280" i="3"/>
  <c r="Q271" i="3"/>
  <c r="R271" i="3" s="1"/>
  <c r="Q274" i="3" l="1"/>
  <c r="R274" i="3" s="1"/>
  <c r="H40" i="3"/>
  <c r="P40" i="3" s="1"/>
  <c r="G161" i="3"/>
  <c r="H43" i="3" l="1"/>
  <c r="P43" i="3" s="1"/>
  <c r="Q54" i="3" l="1"/>
  <c r="Q252" i="3"/>
  <c r="Q251" i="3"/>
  <c r="Q250" i="3"/>
  <c r="Q242" i="3"/>
  <c r="R242" i="3" s="1"/>
  <c r="S242" i="3" s="1"/>
  <c r="Q241" i="3"/>
  <c r="R241" i="3" s="1"/>
  <c r="S241" i="3" s="1"/>
  <c r="Q235" i="3"/>
  <c r="R235" i="3" s="1"/>
  <c r="S235" i="3" s="1"/>
  <c r="Q234" i="3"/>
  <c r="R234" i="3" s="1"/>
  <c r="S234" i="3" s="1"/>
  <c r="Q212" i="3"/>
  <c r="Q230" i="3" s="1"/>
  <c r="Q206" i="3"/>
  <c r="Q205" i="3"/>
  <c r="R205" i="3" s="1"/>
  <c r="S205" i="3" s="1"/>
  <c r="Q204" i="3"/>
  <c r="Q203" i="3"/>
  <c r="R203" i="3" s="1"/>
  <c r="S203" i="3" s="1"/>
  <c r="Q202" i="3"/>
  <c r="R202" i="3" s="1"/>
  <c r="S202" i="3" s="1"/>
  <c r="Q201" i="3"/>
  <c r="R201" i="3" s="1"/>
  <c r="S201" i="3" s="1"/>
  <c r="Q200" i="3"/>
  <c r="R200" i="3" s="1"/>
  <c r="S200" i="3" s="1"/>
  <c r="Q199" i="3"/>
  <c r="R199" i="3" s="1"/>
  <c r="S199" i="3" s="1"/>
  <c r="Q198" i="3"/>
  <c r="R198" i="3" s="1"/>
  <c r="S198" i="3" s="1"/>
  <c r="Q192" i="3"/>
  <c r="Q191" i="3"/>
  <c r="Q190" i="3"/>
  <c r="R190" i="3" s="1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0" i="3"/>
  <c r="Q169" i="3"/>
  <c r="Q168" i="3"/>
  <c r="Q167" i="3"/>
  <c r="R167" i="3" s="1"/>
  <c r="S167" i="3" s="1"/>
  <c r="Q165" i="3"/>
  <c r="Q164" i="3"/>
  <c r="Q163" i="3"/>
  <c r="Q162" i="3"/>
  <c r="Q155" i="3"/>
  <c r="R155" i="3" s="1"/>
  <c r="S155" i="3" s="1"/>
  <c r="Q151" i="3"/>
  <c r="R151" i="3" s="1"/>
  <c r="S151" i="3" s="1"/>
  <c r="Q148" i="3"/>
  <c r="R148" i="3" s="1"/>
  <c r="S148" i="3" s="1"/>
  <c r="Q147" i="3"/>
  <c r="Q143" i="3"/>
  <c r="Q141" i="3"/>
  <c r="Q138" i="3"/>
  <c r="Q137" i="3"/>
  <c r="Q133" i="3"/>
  <c r="Q123" i="3"/>
  <c r="Q122" i="3"/>
  <c r="Q114" i="3"/>
  <c r="Q112" i="3"/>
  <c r="Q111" i="3"/>
  <c r="Q110" i="3"/>
  <c r="Q109" i="3"/>
  <c r="Q108" i="3"/>
  <c r="Q107" i="3"/>
  <c r="R107" i="3" s="1"/>
  <c r="S107" i="3" s="1"/>
  <c r="Q106" i="3"/>
  <c r="Q105" i="3"/>
  <c r="Q98" i="3"/>
  <c r="Q97" i="3"/>
  <c r="Q96" i="3"/>
  <c r="Q95" i="3"/>
  <c r="Q89" i="3"/>
  <c r="Q88" i="3"/>
  <c r="Q87" i="3"/>
  <c r="Q81" i="3"/>
  <c r="Q79" i="3"/>
  <c r="Q78" i="3"/>
  <c r="Q77" i="3"/>
  <c r="Q76" i="3"/>
  <c r="Q75" i="3"/>
  <c r="Q74" i="3"/>
  <c r="Q73" i="3"/>
  <c r="Q72" i="3"/>
  <c r="Q71" i="3"/>
  <c r="Q70" i="3"/>
  <c r="Q64" i="3"/>
  <c r="Q62" i="3"/>
  <c r="Q61" i="3"/>
  <c r="Q60" i="3"/>
  <c r="Q59" i="3"/>
  <c r="Q58" i="3"/>
  <c r="Q57" i="3"/>
  <c r="Q56" i="3"/>
  <c r="Q55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3" i="3"/>
  <c r="Q32" i="3"/>
  <c r="Q31" i="3"/>
  <c r="Q30" i="3"/>
  <c r="Q29" i="3"/>
  <c r="Q28" i="3"/>
  <c r="Q27" i="3"/>
  <c r="Q26" i="3"/>
  <c r="Q25" i="3"/>
  <c r="Q24" i="3"/>
  <c r="R24" i="3" s="1"/>
  <c r="S24" i="3" s="1"/>
  <c r="Q23" i="3"/>
  <c r="R204" i="3" l="1"/>
  <c r="S204" i="3" s="1"/>
  <c r="Q254" i="3"/>
  <c r="Q157" i="3"/>
  <c r="Q244" i="3"/>
  <c r="Q100" i="3"/>
  <c r="Q237" i="3"/>
  <c r="Q208" i="3"/>
  <c r="Q83" i="3"/>
  <c r="R228" i="3"/>
  <c r="S228" i="3" s="1"/>
  <c r="R227" i="3"/>
  <c r="S227" i="3" s="1"/>
  <c r="R226" i="3"/>
  <c r="S226" i="3" s="1"/>
  <c r="R225" i="3"/>
  <c r="S225" i="3" s="1"/>
  <c r="R222" i="3"/>
  <c r="S222" i="3" s="1"/>
  <c r="R221" i="3"/>
  <c r="S221" i="3" s="1"/>
  <c r="R220" i="3"/>
  <c r="S220" i="3" s="1"/>
  <c r="R219" i="3"/>
  <c r="S219" i="3" s="1"/>
  <c r="R218" i="3"/>
  <c r="S218" i="3" s="1"/>
  <c r="R217" i="3"/>
  <c r="S217" i="3" s="1"/>
  <c r="R216" i="3"/>
  <c r="S216" i="3" s="1"/>
  <c r="R212" i="3"/>
  <c r="S212" i="3" s="1"/>
  <c r="R206" i="3"/>
  <c r="S206" i="3" s="1"/>
  <c r="R192" i="3"/>
  <c r="S192" i="3" s="1"/>
  <c r="R191" i="3"/>
  <c r="S191" i="3" s="1"/>
  <c r="S190" i="3"/>
  <c r="R188" i="3"/>
  <c r="S188" i="3" s="1"/>
  <c r="R184" i="3"/>
  <c r="S184" i="3" s="1"/>
  <c r="R183" i="3"/>
  <c r="S183" i="3" s="1"/>
  <c r="R182" i="3"/>
  <c r="S182" i="3" s="1"/>
  <c r="R181" i="3"/>
  <c r="S181" i="3" s="1"/>
  <c r="R180" i="3"/>
  <c r="S180" i="3" s="1"/>
  <c r="R179" i="3"/>
  <c r="S179" i="3" s="1"/>
  <c r="R178" i="3"/>
  <c r="S178" i="3" s="1"/>
  <c r="R177" i="3"/>
  <c r="S177" i="3" s="1"/>
  <c r="R176" i="3"/>
  <c r="S176" i="3" s="1"/>
  <c r="R175" i="3"/>
  <c r="S175" i="3" s="1"/>
  <c r="R174" i="3"/>
  <c r="S174" i="3" s="1"/>
  <c r="R173" i="3"/>
  <c r="S173" i="3" s="1"/>
  <c r="R172" i="3"/>
  <c r="S172" i="3" s="1"/>
  <c r="R171" i="3"/>
  <c r="S171" i="3" s="1"/>
  <c r="R170" i="3"/>
  <c r="S170" i="3" s="1"/>
  <c r="R169" i="3"/>
  <c r="S169" i="3" s="1"/>
  <c r="R168" i="3"/>
  <c r="S168" i="3" s="1"/>
  <c r="R165" i="3"/>
  <c r="S165" i="3" s="1"/>
  <c r="R164" i="3"/>
  <c r="S164" i="3" s="1"/>
  <c r="R163" i="3"/>
  <c r="S163" i="3" s="1"/>
  <c r="R162" i="3"/>
  <c r="S162" i="3" s="1"/>
  <c r="R150" i="3"/>
  <c r="S150" i="3" s="1"/>
  <c r="R147" i="3"/>
  <c r="S147" i="3" s="1"/>
  <c r="R143" i="3"/>
  <c r="S143" i="3" s="1"/>
  <c r="R141" i="3"/>
  <c r="S141" i="3" s="1"/>
  <c r="R138" i="3"/>
  <c r="S138" i="3" s="1"/>
  <c r="R137" i="3"/>
  <c r="S137" i="3" s="1"/>
  <c r="R133" i="3"/>
  <c r="S133" i="3" s="1"/>
  <c r="R130" i="3"/>
  <c r="S130" i="3" s="1"/>
  <c r="R126" i="3"/>
  <c r="S126" i="3" s="1"/>
  <c r="R123" i="3"/>
  <c r="S123" i="3" s="1"/>
  <c r="R122" i="3"/>
  <c r="S122" i="3" s="1"/>
  <c r="R114" i="3"/>
  <c r="S114" i="3" s="1"/>
  <c r="R112" i="3"/>
  <c r="S112" i="3" s="1"/>
  <c r="R111" i="3"/>
  <c r="S111" i="3" s="1"/>
  <c r="R110" i="3"/>
  <c r="S110" i="3" s="1"/>
  <c r="R109" i="3"/>
  <c r="S109" i="3" s="1"/>
  <c r="R108" i="3"/>
  <c r="S108" i="3" s="1"/>
  <c r="R106" i="3"/>
  <c r="S106" i="3" s="1"/>
  <c r="R105" i="3"/>
  <c r="S105" i="3" s="1"/>
  <c r="R98" i="3"/>
  <c r="S98" i="3" s="1"/>
  <c r="R97" i="3"/>
  <c r="S97" i="3" s="1"/>
  <c r="R96" i="3"/>
  <c r="S96" i="3" s="1"/>
  <c r="R95" i="3"/>
  <c r="S95" i="3" s="1"/>
  <c r="R89" i="3"/>
  <c r="S89" i="3" s="1"/>
  <c r="R88" i="3"/>
  <c r="S88" i="3" s="1"/>
  <c r="R87" i="3"/>
  <c r="S87" i="3" s="1"/>
  <c r="R81" i="3"/>
  <c r="S81" i="3" s="1"/>
  <c r="R80" i="3"/>
  <c r="S80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5" i="3"/>
  <c r="S65" i="3" s="1"/>
  <c r="R64" i="3"/>
  <c r="S64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3" i="3"/>
  <c r="S23" i="3" s="1"/>
  <c r="R208" i="3" l="1"/>
  <c r="R230" i="3"/>
  <c r="R237" i="3"/>
  <c r="R157" i="3"/>
  <c r="R244" i="3"/>
  <c r="E244" i="3"/>
  <c r="F244" i="3"/>
  <c r="F254" i="3"/>
  <c r="E254" i="3"/>
  <c r="G254" i="3"/>
  <c r="H254" i="3"/>
  <c r="I254" i="3"/>
  <c r="J254" i="3"/>
  <c r="O254" i="3"/>
  <c r="D254" i="3"/>
  <c r="P254" i="3" l="1"/>
  <c r="F161" i="3"/>
  <c r="P161" i="3" s="1"/>
  <c r="Q161" i="3" l="1"/>
  <c r="Q194" i="3" s="1"/>
  <c r="K208" i="3"/>
  <c r="E208" i="3"/>
  <c r="F208" i="3"/>
  <c r="G208" i="3"/>
  <c r="H208" i="3"/>
  <c r="I208" i="3"/>
  <c r="J208" i="3"/>
  <c r="D208" i="3"/>
  <c r="P208" i="3" l="1"/>
  <c r="R161" i="3"/>
  <c r="S161" i="3" s="1"/>
  <c r="Q10" i="3" l="1"/>
  <c r="B34" i="4" l="1"/>
  <c r="B33" i="4"/>
  <c r="A254" i="3"/>
  <c r="C34" i="4"/>
  <c r="D34" i="4"/>
  <c r="E34" i="4"/>
  <c r="F34" i="4"/>
  <c r="G34" i="4"/>
  <c r="H34" i="4"/>
  <c r="I34" i="4"/>
  <c r="J34" i="4"/>
  <c r="K34" i="4"/>
  <c r="L34" i="4"/>
  <c r="M34" i="4"/>
  <c r="N34" i="4"/>
  <c r="C254" i="3"/>
  <c r="A244" i="3"/>
  <c r="C25" i="4"/>
  <c r="D25" i="4"/>
  <c r="D33" i="4" l="1"/>
  <c r="D244" i="3"/>
  <c r="D230" i="3"/>
  <c r="E237" i="3"/>
  <c r="F237" i="3"/>
  <c r="G237" i="3"/>
  <c r="D237" i="3"/>
  <c r="C32" i="4" l="1"/>
  <c r="C33" i="4"/>
  <c r="D32" i="4"/>
  <c r="C31" i="4"/>
  <c r="E230" i="3"/>
  <c r="D31" i="4" s="1"/>
  <c r="D30" i="4"/>
  <c r="C30" i="4"/>
  <c r="E194" i="3"/>
  <c r="D194" i="3"/>
  <c r="E157" i="3"/>
  <c r="D157" i="3"/>
  <c r="E100" i="3"/>
  <c r="D100" i="3"/>
  <c r="E91" i="3"/>
  <c r="D27" i="4" s="1"/>
  <c r="D91" i="3"/>
  <c r="E83" i="3"/>
  <c r="D83" i="3"/>
  <c r="E66" i="3"/>
  <c r="D66" i="3"/>
  <c r="D265" i="3" l="1"/>
  <c r="D260" i="3"/>
  <c r="E260" i="3"/>
  <c r="C27" i="4"/>
  <c r="C29" i="4"/>
  <c r="E265" i="3"/>
  <c r="C28" i="4"/>
  <c r="D28" i="4"/>
  <c r="D29" i="4"/>
  <c r="D26" i="4"/>
  <c r="C26" i="4"/>
  <c r="D286" i="3" l="1"/>
  <c r="D290" i="3" s="1"/>
  <c r="E286" i="3"/>
  <c r="E290" i="3" s="1"/>
  <c r="D263" i="3"/>
  <c r="E263" i="3"/>
  <c r="Q11" i="3" l="1"/>
  <c r="Q12" i="3"/>
  <c r="Q13" i="3"/>
  <c r="O34" i="4" l="1"/>
  <c r="F230" i="3" l="1"/>
  <c r="H230" i="3"/>
  <c r="I230" i="3"/>
  <c r="J230" i="3"/>
  <c r="K230" i="3"/>
  <c r="C265" i="3"/>
  <c r="O244" i="3"/>
  <c r="M33" i="4"/>
  <c r="L33" i="4"/>
  <c r="K33" i="4"/>
  <c r="K244" i="3"/>
  <c r="J33" i="4" s="1"/>
  <c r="J244" i="3"/>
  <c r="I33" i="4" s="1"/>
  <c r="H33" i="4"/>
  <c r="H244" i="3"/>
  <c r="G33" i="4" s="1"/>
  <c r="G244" i="3"/>
  <c r="E33" i="4"/>
  <c r="N33" i="4" l="1"/>
  <c r="P244" i="3"/>
  <c r="F33" i="4"/>
  <c r="G230" i="3"/>
  <c r="P230" i="3" s="1"/>
  <c r="O33" i="4"/>
  <c r="F66" i="3" l="1"/>
  <c r="G66" i="3"/>
  <c r="I66" i="3"/>
  <c r="J66" i="3"/>
  <c r="K66" i="3"/>
  <c r="A157" i="3"/>
  <c r="K100" i="3"/>
  <c r="J100" i="3"/>
  <c r="I100" i="3"/>
  <c r="H100" i="3"/>
  <c r="G100" i="3"/>
  <c r="F100" i="3"/>
  <c r="A100" i="3"/>
  <c r="F83" i="3"/>
  <c r="G83" i="3"/>
  <c r="H83" i="3"/>
  <c r="I83" i="3"/>
  <c r="J83" i="3"/>
  <c r="K83" i="3"/>
  <c r="A83" i="3"/>
  <c r="A66" i="3"/>
  <c r="P100" i="3" l="1"/>
  <c r="P83" i="3"/>
  <c r="F91" i="3"/>
  <c r="G91" i="3"/>
  <c r="H91" i="3"/>
  <c r="I91" i="3"/>
  <c r="J91" i="3"/>
  <c r="K91" i="3"/>
  <c r="F157" i="3"/>
  <c r="G157" i="3"/>
  <c r="H157" i="3"/>
  <c r="I157" i="3"/>
  <c r="J157" i="3"/>
  <c r="K157" i="3"/>
  <c r="F194" i="3"/>
  <c r="G194" i="3"/>
  <c r="F29" i="4" s="1"/>
  <c r="H194" i="3"/>
  <c r="G29" i="4" s="1"/>
  <c r="I194" i="3"/>
  <c r="H29" i="4" s="1"/>
  <c r="J194" i="3"/>
  <c r="I29" i="4" s="1"/>
  <c r="K194" i="3"/>
  <c r="J29" i="4" s="1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H237" i="3"/>
  <c r="I237" i="3"/>
  <c r="H32" i="4" s="1"/>
  <c r="J237" i="3"/>
  <c r="I32" i="4" s="1"/>
  <c r="K237" i="3"/>
  <c r="J32" i="4" s="1"/>
  <c r="K32" i="4"/>
  <c r="L32" i="4"/>
  <c r="M32" i="4"/>
  <c r="O237" i="3"/>
  <c r="O260" i="3" s="1"/>
  <c r="O15" i="3"/>
  <c r="N35" i="4"/>
  <c r="N36" i="4"/>
  <c r="M35" i="4"/>
  <c r="M36" i="4"/>
  <c r="L35" i="4"/>
  <c r="L36" i="4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37" i="3"/>
  <c r="A230" i="3"/>
  <c r="A208" i="3"/>
  <c r="A194" i="3"/>
  <c r="A91" i="3"/>
  <c r="A15" i="3"/>
  <c r="P194" i="3" l="1"/>
  <c r="P15" i="3"/>
  <c r="P91" i="3"/>
  <c r="P237" i="3"/>
  <c r="P157" i="3"/>
  <c r="O265" i="3"/>
  <c r="K29" i="4"/>
  <c r="K265" i="3"/>
  <c r="K260" i="3"/>
  <c r="K286" i="3" s="1"/>
  <c r="J260" i="3"/>
  <c r="J286" i="3" s="1"/>
  <c r="I260" i="3"/>
  <c r="N32" i="4"/>
  <c r="O286" i="3"/>
  <c r="J265" i="3"/>
  <c r="G260" i="3"/>
  <c r="F260" i="3"/>
  <c r="G32" i="4"/>
  <c r="F265" i="3"/>
  <c r="I265" i="3"/>
  <c r="G265" i="3"/>
  <c r="R194" i="3"/>
  <c r="K30" i="4"/>
  <c r="K27" i="4"/>
  <c r="J27" i="4"/>
  <c r="I27" i="4"/>
  <c r="L27" i="4"/>
  <c r="H27" i="4"/>
  <c r="F259" i="3"/>
  <c r="I259" i="3"/>
  <c r="J259" i="3"/>
  <c r="K259" i="3"/>
  <c r="O259" i="3"/>
  <c r="G259" i="3"/>
  <c r="H259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Q91" i="3"/>
  <c r="M27" i="4"/>
  <c r="O29" i="4"/>
  <c r="E27" i="4"/>
  <c r="Q15" i="3"/>
  <c r="O35" i="4"/>
  <c r="K26" i="4"/>
  <c r="F27" i="4"/>
  <c r="N27" i="4"/>
  <c r="O31" i="4"/>
  <c r="L26" i="4"/>
  <c r="G27" i="4"/>
  <c r="P259" i="3" l="1"/>
  <c r="G286" i="3"/>
  <c r="G290" i="3" s="1"/>
  <c r="I286" i="3"/>
  <c r="I290" i="3" s="1"/>
  <c r="F286" i="3"/>
  <c r="F290" i="3" s="1"/>
  <c r="J290" i="3"/>
  <c r="J263" i="3"/>
  <c r="Q259" i="3"/>
  <c r="Q260" i="3"/>
  <c r="O290" i="3"/>
  <c r="O263" i="3"/>
  <c r="G263" i="3"/>
  <c r="O30" i="4"/>
  <c r="O32" i="4"/>
  <c r="O27" i="4"/>
  <c r="K263" i="3"/>
  <c r="I263" i="3"/>
  <c r="F263" i="3"/>
  <c r="O28" i="4"/>
  <c r="H66" i="3"/>
  <c r="P66" i="3" s="1"/>
  <c r="K290" i="3" l="1"/>
  <c r="H260" i="3"/>
  <c r="P260" i="3" s="1"/>
  <c r="H265" i="3"/>
  <c r="P265" i="3" s="1"/>
  <c r="Q263" i="3"/>
  <c r="Q66" i="3"/>
  <c r="Q265" i="3" s="1"/>
  <c r="G26" i="4"/>
  <c r="H286" i="3" l="1"/>
  <c r="P286" i="3"/>
  <c r="Q256" i="3"/>
  <c r="H263" i="3"/>
  <c r="P263" i="3" s="1"/>
  <c r="O26" i="4"/>
  <c r="H290" i="3" l="1"/>
</calcChain>
</file>

<file path=xl/comments1.xml><?xml version="1.0" encoding="utf-8"?>
<comments xmlns="http://schemas.openxmlformats.org/spreadsheetml/2006/main">
  <authors>
    <author>MICHELLE</author>
    <author>Michelle</author>
  </authors>
  <commentList>
    <comment ref="R11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Not Utilised
</t>
        </r>
      </text>
    </comment>
    <comment ref="R1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
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Campaign in August 2017 with Malaysia Airlines GBP12,000</t>
        </r>
      </text>
    </comment>
    <comment ref="R11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R11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O1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Singapore Tac Campaign</t>
        </r>
      </text>
    </comment>
    <comment ref="R1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Hotel Accommodation-TCA</t>
        </r>
      </text>
    </comment>
    <comment ref="O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MAS Aus and HelloWorld Travel AUD 22,000</t>
        </r>
      </text>
    </comment>
    <comment ref="R12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R12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Lion Travel</t>
        </r>
      </text>
    </comment>
    <comment ref="O128" authorId="0" shapeId="0">
      <text>
        <r>
          <rPr>
            <b/>
            <sz val="9"/>
            <color indexed="81"/>
            <rFont val="Tahoma"/>
            <family val="2"/>
          </rPr>
          <t xml:space="preserve">Tac Campaign with AA Indonesia </t>
        </r>
      </text>
    </comment>
    <comment ref="O13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Airasiago Thailand for Pg Campaign November</t>
        </r>
      </text>
    </comment>
    <comment ref="K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O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USD20k for Dec</t>
        </r>
      </text>
    </comment>
    <comment ref="O1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USD24k by this year</t>
        </r>
      </text>
    </comment>
    <comment ref="O1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Philippines Digital Content</t>
        </r>
      </text>
    </comment>
    <comment ref="O16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Translation - RM1,720
Copywriting - RM3,600</t>
        </r>
      </text>
    </comment>
    <comment ref="K16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Pendulum &amp; Ezoz Australia</t>
        </r>
      </text>
    </comment>
    <comment ref="J17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Bus Decker 50% Bal RM79K
Radio Campaign - RM160k</t>
        </r>
      </text>
    </comment>
    <comment ref="O204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Prepayment</t>
        </r>
      </text>
    </comment>
    <comment ref="H22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Tour &amp; Incentive Booklet</t>
        </r>
      </text>
    </comment>
    <comment ref="O27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Travel Weekly Asia - USD7,000</t>
        </r>
      </text>
    </comment>
    <comment ref="K27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Publicity - PSFF</t>
        </r>
      </text>
    </comment>
    <comment ref="C278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  <comment ref="H29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<sst xmlns="http://schemas.openxmlformats.org/spreadsheetml/2006/main" count="426" uniqueCount="283">
  <si>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</si>
  <si>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</si>
  <si>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</si>
  <si>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</si>
  <si>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</si>
  <si>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</si>
  <si>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</si>
  <si>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</si>
  <si>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</si>
  <si>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</si>
  <si>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</si>
  <si>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</si>
  <si>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</si>
  <si>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</si>
  <si>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</si>
  <si>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</si>
  <si>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</si>
  <si>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</si>
  <si>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</si>
  <si>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</si>
  <si>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</si>
  <si>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</si>
  <si>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</si>
  <si>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</si>
  <si>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</si>
  <si>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</si>
  <si>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</si>
  <si>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</si>
  <si>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</si>
  <si>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</si>
  <si>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</si>
  <si>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</si>
  <si>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</si>
  <si>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</si>
  <si>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</si>
  <si>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</si>
  <si>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</si>
  <si>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</si>
  <si>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</si>
  <si>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</si>
  <si>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</si>
  <si>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</si>
  <si>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</si>
  <si>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</si>
  <si>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</si>
  <si>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</si>
  <si>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</si>
  <si>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</si>
  <si>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</si>
  <si>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</si>
  <si>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</si>
  <si>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</si>
  <si>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</si>
  <si>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</si>
  <si>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</si>
  <si>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</si>
  <si>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</si>
  <si>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</si>
  <si>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</si>
  <si>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</si>
  <si>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</si>
  <si>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</si>
  <si>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</si>
  <si>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</si>
  <si>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</si>
  <si>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</si>
  <si>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</si>
  <si>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</si>
  <si>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</si>
  <si>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</si>
  <si>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</si>
  <si>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</si>
  <si>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</si>
  <si>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</si>
  <si>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</si>
  <si>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</si>
  <si>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</si>
  <si>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</si>
  <si>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</si>
  <si>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</si>
  <si>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</si>
  <si>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</si>
  <si>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</si>
  <si>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</si>
  <si>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</si>
  <si>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</si>
  <si>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</si>
  <si>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</si>
  <si>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</si>
  <si>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</si>
  <si>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</si>
  <si>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</si>
  <si>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</si>
  <si>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</si>
  <si>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</si>
  <si>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</si>
  <si>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</si>
  <si>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</si>
  <si>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</si>
  <si>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</si>
  <si>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</si>
  <si>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</si>
  <si>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</si>
  <si>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</si>
  <si>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</si>
  <si>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</si>
  <si>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</si>
  <si>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</si>
  <si>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</si>
  <si>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</si>
  <si>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</si>
  <si>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</si>
  <si>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</si>
  <si>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</si>
  <si>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</si>
  <si>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</si>
  <si>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</si>
  <si>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</si>
  <si>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</si>
  <si>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</si>
  <si>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</si>
  <si>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</si>
  <si>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</si>
  <si>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</si>
  <si>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</si>
  <si>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</si>
  <si>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</si>
  <si>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</si>
  <si>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</si>
  <si>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</si>
  <si>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</si>
  <si>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</si>
  <si>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</si>
  <si>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</si>
  <si>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</si>
  <si>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</si>
  <si>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</si>
  <si>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</si>
  <si>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</si>
  <si>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</si>
  <si>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</si>
  <si>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</si>
  <si>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</si>
  <si>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</si>
  <si>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</si>
  <si>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</si>
  <si>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</si>
  <si>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</si>
  <si>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</si>
  <si>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</si>
  <si>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</si>
  <si>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</si>
  <si>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</si>
  <si>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</si>
  <si>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</si>
  <si>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</si>
  <si>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</si>
  <si>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</si>
  <si>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</si>
  <si>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</si>
  <si>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</si>
  <si>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</si>
  <si>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</si>
  <si>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Fund from State Govt - 2016</t>
  </si>
  <si>
    <t>Australia -   Tactical Promotion - OTA/Wholsaler</t>
  </si>
  <si>
    <t>Indonesia - Tactical Campaign</t>
  </si>
  <si>
    <t>Vietnam - ITE Vietnam</t>
  </si>
  <si>
    <t>State Exco - Trade fairs &amp; Roadshow (by Isabella)</t>
  </si>
  <si>
    <t>Ebuzz - EDMs/ Newsletter</t>
  </si>
  <si>
    <t>Penang Anime Matsuri - Summer Party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</si>
  <si>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</si>
  <si>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</si>
  <si>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</si>
  <si>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</si>
  <si>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</si>
  <si>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</si>
  <si>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</si>
  <si>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</si>
  <si>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</si>
  <si>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</si>
  <si>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</si>
  <si>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</si>
  <si>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</si>
  <si>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WTM Conenct Asia (Levy)</t>
  </si>
  <si>
    <t>WTM Conenct Asia (PGT)</t>
  </si>
  <si>
    <t>ACCRUAL</t>
  </si>
  <si>
    <t>Gain</t>
  </si>
  <si>
    <t>OTHERS</t>
  </si>
  <si>
    <t>Publicity - Penang Yosakoi Parade</t>
  </si>
  <si>
    <t>Publicity - 10 Days 3 Festivals' - GTLF, TIBF &amp; Jazz Festival</t>
  </si>
  <si>
    <t>Fund from Levy</t>
  </si>
  <si>
    <t>Japan - Jata Tourism Expo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</si>
  <si>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</si>
  <si>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</si>
  <si>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</si>
  <si>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</si>
  <si>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</si>
  <si>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</si>
  <si>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</si>
  <si>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</si>
  <si>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</si>
  <si>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</si>
  <si>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</si>
  <si>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</si>
  <si>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</si>
  <si>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</si>
  <si>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</si>
  <si>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</si>
  <si>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</si>
  <si>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</si>
  <si>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</si>
  <si>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</si>
  <si>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</si>
  <si>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</si>
  <si>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</si>
  <si>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</si>
  <si>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</si>
  <si>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</si>
  <si>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UAE - Tactical Campaign B2B</t>
  </si>
  <si>
    <t>New Zealand - Tactical Campaign B2C</t>
  </si>
  <si>
    <t xml:space="preserve">Hosting </t>
  </si>
  <si>
    <t>Website Revamp</t>
  </si>
  <si>
    <t>Japan - collaborate with TM + Expedia</t>
  </si>
  <si>
    <t>Taiwan - collaborate with TM</t>
  </si>
  <si>
    <t>South Korea Media Campaign</t>
  </si>
  <si>
    <t>Thailand Media Campaign (Billboard &amp; etc)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</si>
  <si>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</si>
  <si>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</si>
  <si>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</si>
  <si>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</si>
  <si>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</si>
  <si>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</si>
  <si>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Penang International Food Festival</t>
  </si>
  <si>
    <t xml:space="preserve">India - Satte </t>
  </si>
  <si>
    <t>Publicity - Hot Air Balloon</t>
  </si>
  <si>
    <t xml:space="preserve">  Sponsorship for Hot Air Balloon Fiesta</t>
  </si>
  <si>
    <t>Australia - Support TM Consumer Fair / Content Marketing</t>
  </si>
  <si>
    <t>Trishaw Entourage (Domestic)</t>
  </si>
  <si>
    <t>Prepayment</t>
  </si>
  <si>
    <t>Australia Media Campaign</t>
  </si>
  <si>
    <t>Taiwan - KaohSiung Lantern Festival</t>
  </si>
  <si>
    <t>Fund from State Govt - 2017</t>
  </si>
  <si>
    <t>Publicity - Trishaw Entourage</t>
  </si>
  <si>
    <t>China Roadshow/Trade show</t>
  </si>
  <si>
    <t>APMG Auckland New Zealand</t>
  </si>
  <si>
    <t>Indonesia - Medan Business Dialogue</t>
  </si>
  <si>
    <t>Hong Kong Media Campaign (Tramcar)</t>
  </si>
  <si>
    <t>Hong Kong - Launching of Pg Tramcar</t>
  </si>
  <si>
    <t>Singapore  - ITB Asia (2016 : Travelling expenses during ITB Asia)</t>
  </si>
  <si>
    <t>BUDGET TRACKING FOR 2017</t>
  </si>
  <si>
    <t>Publicity - Pg Fun Experiences with DM3</t>
  </si>
  <si>
    <t>Hong Kong - ITE</t>
  </si>
  <si>
    <t>Recce (HAB)</t>
  </si>
  <si>
    <t>Grand Total (PGT + Levy)</t>
  </si>
  <si>
    <t>TOTAL LEVY</t>
  </si>
  <si>
    <t>TOTAL PGT BUDGET</t>
  </si>
  <si>
    <t>TOTAL (YEARLY)</t>
  </si>
  <si>
    <t>Flight Incentive</t>
  </si>
  <si>
    <t>Pg Fun Experiences with DM3</t>
  </si>
  <si>
    <t>ITB Asia Singapore</t>
  </si>
  <si>
    <t>China Campaign</t>
  </si>
  <si>
    <t>Ads - Billboard</t>
  </si>
  <si>
    <t>State Exco</t>
  </si>
  <si>
    <t xml:space="preserve">Taiwan - Destination Seminar </t>
  </si>
  <si>
    <t>Vietnam - Tactical Campaign</t>
  </si>
  <si>
    <t>Penang Street Food Festival</t>
  </si>
  <si>
    <t>Depreciate</t>
  </si>
  <si>
    <t>Mobile Apps</t>
  </si>
  <si>
    <t>Hong Kong Media Campaign (Visual Change)</t>
  </si>
  <si>
    <t>Hong Kong - Tactical Campaign B2B</t>
  </si>
  <si>
    <t>Pg Street Food Festival</t>
  </si>
  <si>
    <t>Fixed Asset Written off</t>
  </si>
  <si>
    <t>Asia Pacific Econimoc Cooperation Meeting</t>
  </si>
  <si>
    <t>Tour &amp; Incentive Brochure</t>
  </si>
  <si>
    <t xml:space="preserve">Fixed Asset </t>
  </si>
  <si>
    <t xml:space="preserve">UK &amp; Aus Media Campaign </t>
  </si>
  <si>
    <t>Korea / Qatar Tactical Campaign</t>
  </si>
  <si>
    <t>SEPT</t>
  </si>
  <si>
    <t>MOTAC</t>
  </si>
  <si>
    <t>Apec Meeting</t>
  </si>
  <si>
    <t>Motac</t>
  </si>
  <si>
    <t>Tripadvisor &amp; Expedia for UK &amp; Aus - Additional</t>
  </si>
  <si>
    <t>TOTAL 
(TILL 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</si>
</sst>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sz val="11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3" fillId="0" borderId="0"/>
  </cellStyleXfs>
  <cellXfs count="181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27" fillId="0" borderId="0" xfId="0" applyFont="1" applyFill="1" applyBorder="1" applyAlignment="1">
      <alignment horizontal="left" vertical="center" indent="1"/>
    </xf>
    <xf numFmtId="165" fontId="2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28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2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30" fillId="0" borderId="0" xfId="2" applyNumberFormat="1" applyFont="1" applyFill="1" applyBorder="1" applyAlignment="1">
      <alignment vertical="center"/>
    </xf>
    <xf numFmtId="165" fontId="28" fillId="8" borderId="0" xfId="2" applyNumberFormat="1" applyFont="1" applyFill="1" applyBorder="1"/>
    <xf numFmtId="165" fontId="28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30" fillId="0" borderId="4" xfId="2" applyNumberFormat="1" applyFont="1" applyFill="1" applyBorder="1"/>
    <xf numFmtId="165" fontId="2" fillId="0" borderId="4" xfId="2" applyNumberFormat="1" applyFont="1" applyFill="1" applyBorder="1"/>
    <xf numFmtId="37" fontId="34" fillId="0" borderId="0" xfId="3" applyNumberFormat="1" applyFont="1" applyFill="1"/>
    <xf numFmtId="0" fontId="6" fillId="0" borderId="1" xfId="0" applyFont="1" applyFill="1" applyBorder="1" applyAlignment="1">
      <alignment vertical="center"/>
    </xf>
    <xf numFmtId="43" fontId="6" fillId="0" borderId="1" xfId="0" applyNumberFormat="1" applyFont="1" applyFill="1" applyBorder="1" applyAlignment="1">
      <alignment vertical="center"/>
    </xf>
    <xf numFmtId="165" fontId="28" fillId="12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0" applyNumberFormat="1" applyFont="1" applyFill="1" applyBorder="1" applyAlignment="1">
      <alignment vertical="center"/>
    </xf>
    <xf numFmtId="165" fontId="6" fillId="13" borderId="0" xfId="2" applyNumberFormat="1" applyFont="1" applyFill="1" applyBorder="1" applyAlignment="1">
      <alignment vertical="center"/>
    </xf>
    <xf numFmtId="165" fontId="6" fillId="13" borderId="0" xfId="0" applyNumberFormat="1" applyFont="1" applyFill="1" applyBorder="1" applyAlignment="1">
      <alignment vertical="center"/>
    </xf>
    <xf numFmtId="0" fontId="6" fillId="14" borderId="0" xfId="0" applyFont="1" applyFill="1" applyBorder="1" applyAlignment="1" applyProtection="1">
      <alignment horizontal="left" vertical="center" indent="1"/>
      <protection locked="0" hidden="1"/>
    </xf>
    <xf numFmtId="0" fontId="3" fillId="14" borderId="0" xfId="0" applyFont="1" applyFill="1" applyBorder="1"/>
    <xf numFmtId="165" fontId="28" fillId="14" borderId="0" xfId="2" applyNumberFormat="1" applyFont="1" applyFill="1" applyBorder="1"/>
    <xf numFmtId="165" fontId="6" fillId="14" borderId="0" xfId="2" applyNumberFormat="1" applyFont="1" applyFill="1" applyBorder="1"/>
    <xf numFmtId="165" fontId="9" fillId="14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165" fontId="6" fillId="0" borderId="1" xfId="2" applyNumberFormat="1" applyFont="1" applyFill="1" applyBorder="1" applyAlignment="1" applyProtection="1">
      <alignment horizontal="center" vertical="center"/>
      <protection locked="0" hidden="1"/>
    </xf>
    <xf numFmtId="43" fontId="10" fillId="0" borderId="0" xfId="2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43" fontId="6" fillId="0" borderId="0" xfId="2" applyNumberFormat="1" applyFont="1" applyFill="1" applyBorder="1"/>
    <xf numFmtId="165" fontId="6" fillId="0" borderId="1" xfId="0" applyNumberFormat="1" applyFont="1" applyFill="1" applyBorder="1" applyAlignment="1">
      <alignment vertical="center"/>
    </xf>
    <xf numFmtId="165" fontId="27" fillId="0" borderId="0" xfId="0" applyNumberFormat="1" applyFont="1" applyFill="1" applyBorder="1" applyAlignment="1">
      <alignment horizontal="left" vertical="center" indent="1"/>
    </xf>
    <xf numFmtId="165" fontId="6" fillId="0" borderId="0" xfId="0" applyNumberFormat="1" applyFont="1" applyFill="1" applyBorder="1"/>
    <xf numFmtId="165" fontId="6" fillId="15" borderId="0" xfId="0" applyNumberFormat="1" applyFont="1" applyFill="1" applyBorder="1" applyAlignment="1">
      <alignment vertical="center"/>
    </xf>
    <xf numFmtId="0" fontId="3" fillId="12" borderId="0" xfId="0" applyFont="1" applyFill="1" applyBorder="1" applyAlignment="1" applyProtection="1">
      <alignment horizontal="left" vertical="center" indent="1"/>
      <protection locked="0" hidden="1"/>
    </xf>
    <xf numFmtId="165" fontId="13" fillId="10" borderId="9" xfId="2" applyNumberFormat="1" applyFont="1" applyFill="1" applyBorder="1" applyAlignment="1">
      <alignment horizontal="center" vertical="center"/>
    </xf>
    <xf numFmtId="165" fontId="13" fillId="10" borderId="9" xfId="2" applyNumberFormat="1" applyFont="1" applyFill="1" applyBorder="1" applyAlignment="1">
      <alignment horizontal="center" vertical="center"/>
    </xf>
    <xf numFmtId="165" fontId="36" fillId="0" borderId="0" xfId="2" applyNumberFormat="1" applyFont="1" applyFill="1" applyBorder="1" applyAlignment="1">
      <alignment vertical="center"/>
    </xf>
    <xf numFmtId="165" fontId="37" fillId="12" borderId="10" xfId="2" applyNumberFormat="1" applyFont="1" applyFill="1" applyBorder="1" applyAlignment="1">
      <alignment horizontal="center" vertical="center"/>
    </xf>
    <xf numFmtId="165" fontId="36" fillId="0" borderId="11" xfId="2" applyNumberFormat="1" applyFont="1" applyFill="1" applyBorder="1" applyAlignment="1">
      <alignment horizontal="centerContinuous" vertical="center"/>
    </xf>
    <xf numFmtId="165" fontId="36" fillId="0" borderId="0" xfId="2" applyNumberFormat="1" applyFont="1" applyFill="1" applyBorder="1" applyAlignment="1">
      <alignment horizontal="centerContinuous" vertical="center"/>
    </xf>
    <xf numFmtId="165" fontId="38" fillId="0" borderId="0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6" fillId="0" borderId="0" xfId="2" applyNumberFormat="1" applyFont="1" applyFill="1" applyBorder="1" applyAlignment="1" applyProtection="1">
      <alignment vertical="center"/>
      <protection locked="0" hidden="1"/>
    </xf>
    <xf numFmtId="165" fontId="39" fillId="6" borderId="0" xfId="2" applyNumberFormat="1" applyFont="1" applyFill="1" applyBorder="1" applyAlignment="1" applyProtection="1">
      <alignment horizontal="right" vertical="center"/>
      <protection hidden="1"/>
    </xf>
    <xf numFmtId="165" fontId="39" fillId="0" borderId="0" xfId="2" applyNumberFormat="1" applyFont="1" applyFill="1" applyBorder="1" applyAlignment="1" applyProtection="1">
      <alignment vertical="center"/>
      <protection hidden="1"/>
    </xf>
    <xf numFmtId="165" fontId="40" fillId="0" borderId="0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 applyProtection="1">
      <alignment vertical="center"/>
      <protection locked="0" hidden="1"/>
    </xf>
    <xf numFmtId="165" fontId="36" fillId="0" borderId="1" xfId="2" applyNumberFormat="1" applyFont="1" applyFill="1" applyBorder="1" applyAlignment="1" applyProtection="1">
      <alignment horizontal="center" vertical="center"/>
      <protection locked="0" hidden="1"/>
    </xf>
    <xf numFmtId="165" fontId="36" fillId="0" borderId="1" xfId="2" applyNumberFormat="1" applyFont="1" applyFill="1" applyBorder="1" applyAlignment="1">
      <alignment vertical="center"/>
    </xf>
    <xf numFmtId="165" fontId="39" fillId="7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6" fillId="0" borderId="2" xfId="2" applyNumberFormat="1" applyFont="1" applyFill="1" applyBorder="1" applyAlignment="1" applyProtection="1">
      <alignment vertical="center"/>
      <protection locked="0" hidden="1"/>
    </xf>
    <xf numFmtId="165" fontId="36" fillId="12" borderId="1" xfId="2" applyNumberFormat="1" applyFont="1" applyFill="1" applyBorder="1" applyAlignment="1" applyProtection="1">
      <alignment vertical="center"/>
      <protection locked="0" hidden="1"/>
    </xf>
    <xf numFmtId="165" fontId="36" fillId="0" borderId="3" xfId="2" applyNumberFormat="1" applyFont="1" applyFill="1" applyBorder="1" applyAlignment="1" applyProtection="1">
      <alignment vertical="center"/>
      <protection locked="0" hidden="1"/>
    </xf>
    <xf numFmtId="165" fontId="36" fillId="0" borderId="1" xfId="2" applyNumberFormat="1" applyFont="1" applyFill="1" applyBorder="1" applyAlignment="1" applyProtection="1">
      <alignment vertical="center"/>
      <protection hidden="1"/>
    </xf>
    <xf numFmtId="165" fontId="3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6" fillId="0" borderId="0" xfId="2" applyNumberFormat="1" applyFont="1" applyFill="1" applyBorder="1"/>
    <xf numFmtId="165" fontId="40" fillId="0" borderId="0" xfId="2" applyNumberFormat="1" applyFont="1" applyFill="1" applyBorder="1" applyAlignment="1">
      <alignment horizontal="left" vertical="center" indent="1"/>
    </xf>
    <xf numFmtId="165" fontId="39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6" fillId="8" borderId="0" xfId="2" applyNumberFormat="1" applyFont="1" applyFill="1" applyBorder="1"/>
    <xf numFmtId="165" fontId="36" fillId="8" borderId="0" xfId="2" applyNumberFormat="1" applyFont="1" applyFill="1" applyBorder="1" applyAlignment="1">
      <alignment vertical="center"/>
    </xf>
    <xf numFmtId="165" fontId="39" fillId="9" borderId="0" xfId="2" applyNumberFormat="1" applyFont="1" applyFill="1" applyBorder="1" applyAlignment="1">
      <alignment vertical="center"/>
    </xf>
    <xf numFmtId="165" fontId="36" fillId="14" borderId="0" xfId="2" applyNumberFormat="1" applyFont="1" applyFill="1" applyBorder="1"/>
    <xf numFmtId="165" fontId="39" fillId="0" borderId="4" xfId="2" applyNumberFormat="1" applyFont="1" applyFill="1" applyBorder="1"/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8" xfId="2" applyNumberFormat="1" applyFont="1" applyFill="1" applyBorder="1" applyAlignment="1">
      <alignment horizontal="center" vertical="center"/>
    </xf>
    <xf numFmtId="165" fontId="13" fillId="10" borderId="9" xfId="2" applyNumberFormat="1" applyFont="1" applyFill="1" applyBorder="1" applyAlignment="1">
      <alignment horizontal="center" vertical="center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2017'!$A$8:$A$13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'Budget Tracking for 2017'!$Q$8:$Q$13</c:f>
              <c:numCache>
                <c:formatCode>_(* #,##0_);_(* \(#,##0\);_(* "-"??_);_(@_)</c:formatCode>
                <c:ptCount val="6"/>
                <c:pt idx="0">
                  <c:v>1943000</c:v>
                </c:pt>
                <c:pt idx="1">
                  <c:v>7000000</c:v>
                </c:pt>
                <c:pt idx="2">
                  <c:v>2167251.5299999998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120377.60999999999</c:v>
                </c:pt>
                <c:pt idx="1">
                  <c:v>0</c:v>
                </c:pt>
                <c:pt idx="2">
                  <c:v>190949.13000000003</c:v>
                </c:pt>
                <c:pt idx="3">
                  <c:v>52444.390000000007</c:v>
                </c:pt>
                <c:pt idx="4">
                  <c:v>11150.220000000001</c:v>
                </c:pt>
                <c:pt idx="5">
                  <c:v>24526.14</c:v>
                </c:pt>
                <c:pt idx="6">
                  <c:v>4646.37</c:v>
                </c:pt>
                <c:pt idx="7">
                  <c:v>6346.24</c:v>
                </c:pt>
                <c:pt idx="8">
                  <c:v>242880.19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231630.94799999997</c:v>
                </c:pt>
                <c:pt idx="1">
                  <c:v>4600</c:v>
                </c:pt>
                <c:pt idx="2">
                  <c:v>697076.87</c:v>
                </c:pt>
                <c:pt idx="3">
                  <c:v>691409.25</c:v>
                </c:pt>
                <c:pt idx="4">
                  <c:v>89745</c:v>
                </c:pt>
                <c:pt idx="5">
                  <c:v>236349.4</c:v>
                </c:pt>
                <c:pt idx="6">
                  <c:v>65653.179999999993</c:v>
                </c:pt>
                <c:pt idx="7">
                  <c:v>14216.990000000002</c:v>
                </c:pt>
                <c:pt idx="8">
                  <c:v>63150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2017'!$A$259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2017'!$D$259:$O$259</c:f>
              <c:numCache>
                <c:formatCode>_(* #,##0_);_(* \(#,##0\);_(* "-"??_);_(@_)</c:formatCode>
                <c:ptCount val="12"/>
                <c:pt idx="0">
                  <c:v>1943000</c:v>
                </c:pt>
                <c:pt idx="1">
                  <c:v>0</c:v>
                </c:pt>
                <c:pt idx="2">
                  <c:v>4070000</c:v>
                </c:pt>
                <c:pt idx="3">
                  <c:v>597251.53</c:v>
                </c:pt>
                <c:pt idx="4">
                  <c:v>1000000</c:v>
                </c:pt>
                <c:pt idx="5">
                  <c:v>1000000</c:v>
                </c:pt>
                <c:pt idx="6">
                  <c:v>0</c:v>
                </c:pt>
                <c:pt idx="7">
                  <c:v>2500000</c:v>
                </c:pt>
                <c:pt idx="8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2017'!$A$260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2017'!$D$260:$O$260</c:f>
              <c:numCache>
                <c:formatCode>_(* #,##0_);_(* \(#,##0\);_(* "-"??_);_(@_)</c:formatCode>
                <c:ptCount val="12"/>
                <c:pt idx="0">
                  <c:v>779793.19000000006</c:v>
                </c:pt>
                <c:pt idx="1">
                  <c:v>395231.50999999995</c:v>
                </c:pt>
                <c:pt idx="2">
                  <c:v>570669.67999999993</c:v>
                </c:pt>
                <c:pt idx="3">
                  <c:v>852301.58000000007</c:v>
                </c:pt>
                <c:pt idx="4">
                  <c:v>936229.45999999985</c:v>
                </c:pt>
                <c:pt idx="5">
                  <c:v>706658.83000000007</c:v>
                </c:pt>
                <c:pt idx="6">
                  <c:v>973643.53</c:v>
                </c:pt>
                <c:pt idx="7">
                  <c:v>663944.51</c:v>
                </c:pt>
                <c:pt idx="8">
                  <c:v>495535.27</c:v>
                </c:pt>
                <c:pt idx="9">
                  <c:v>988864.77</c:v>
                </c:pt>
                <c:pt idx="10">
                  <c:v>319287.32</c:v>
                </c:pt>
                <c:pt idx="11">
                  <c:v>2119997.0779999997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2017'!$A$263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2017'!$D$263:$O$263</c:f>
              <c:numCache>
                <c:formatCode>_(* #,##0_);_(* \(#,##0\);_(* "-"??_);_(@_)</c:formatCode>
                <c:ptCount val="12"/>
                <c:pt idx="0">
                  <c:v>566142.34000000008</c:v>
                </c:pt>
                <c:pt idx="1">
                  <c:v>-395231.50999999995</c:v>
                </c:pt>
                <c:pt idx="2">
                  <c:v>3499330.3200000003</c:v>
                </c:pt>
                <c:pt idx="3">
                  <c:v>-255050.05000000005</c:v>
                </c:pt>
                <c:pt idx="4">
                  <c:v>63770.540000000154</c:v>
                </c:pt>
                <c:pt idx="5">
                  <c:v>293341.16999999993</c:v>
                </c:pt>
                <c:pt idx="6">
                  <c:v>-973643.53</c:v>
                </c:pt>
                <c:pt idx="7">
                  <c:v>1836055.49</c:v>
                </c:pt>
                <c:pt idx="8">
                  <c:v>-495535.27</c:v>
                </c:pt>
                <c:pt idx="9">
                  <c:v>-988864.77</c:v>
                </c:pt>
                <c:pt idx="10">
                  <c:v>-319287.32</c:v>
                </c:pt>
                <c:pt idx="11">
                  <c:v>-2119997.0779999997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1603976.2879999997</c:v>
                </c:pt>
                <c:pt idx="1">
                  <c:v>19005.599999999999</c:v>
                </c:pt>
                <c:pt idx="2">
                  <c:v>2129037.8099999996</c:v>
                </c:pt>
                <c:pt idx="3">
                  <c:v>2277071.7999999998</c:v>
                </c:pt>
                <c:pt idx="4">
                  <c:v>1576716.7099999997</c:v>
                </c:pt>
                <c:pt idx="5">
                  <c:v>640498.31000000006</c:v>
                </c:pt>
                <c:pt idx="6">
                  <c:v>160332.63</c:v>
                </c:pt>
                <c:pt idx="7">
                  <c:v>100524.83000000002</c:v>
                </c:pt>
                <c:pt idx="8">
                  <c:v>1968843.2200000002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106259.38999999998</c:v>
                </c:pt>
                <c:pt idx="1">
                  <c:v>150275.01999999999</c:v>
                </c:pt>
                <c:pt idx="2">
                  <c:v>118618.90000000001</c:v>
                </c:pt>
                <c:pt idx="3">
                  <c:v>112171.48</c:v>
                </c:pt>
                <c:pt idx="4">
                  <c:v>118490.79999999999</c:v>
                </c:pt>
                <c:pt idx="5">
                  <c:v>171177.33</c:v>
                </c:pt>
                <c:pt idx="6">
                  <c:v>116466.81999999999</c:v>
                </c:pt>
                <c:pt idx="7">
                  <c:v>120377.60999999999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231630.94799999997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8299.7999999999993</c:v>
                </c:pt>
                <c:pt idx="1">
                  <c:v>2099</c:v>
                </c:pt>
                <c:pt idx="2">
                  <c:v>0</c:v>
                </c:pt>
                <c:pt idx="3">
                  <c:v>0</c:v>
                </c:pt>
                <c:pt idx="4">
                  <c:v>4006.8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286221.24</c:v>
                </c:pt>
                <c:pt idx="6">
                  <c:v>252640.72999999998</c:v>
                </c:pt>
                <c:pt idx="7">
                  <c:v>190949.13000000003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697076.87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24370.63</c:v>
                </c:pt>
                <c:pt idx="1">
                  <c:v>31605.66</c:v>
                </c:pt>
                <c:pt idx="2">
                  <c:v>121293.59</c:v>
                </c:pt>
                <c:pt idx="3">
                  <c:v>77087.38</c:v>
                </c:pt>
                <c:pt idx="4">
                  <c:v>97596.62000000001</c:v>
                </c:pt>
                <c:pt idx="5">
                  <c:v>164960.33000000002</c:v>
                </c:pt>
                <c:pt idx="6">
                  <c:v>475745.91000000003</c:v>
                </c:pt>
                <c:pt idx="7">
                  <c:v>52444.390000000007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691409.25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634226.91</c:v>
                </c:pt>
                <c:pt idx="1">
                  <c:v>57076.7</c:v>
                </c:pt>
                <c:pt idx="2">
                  <c:v>95508.34</c:v>
                </c:pt>
                <c:pt idx="3">
                  <c:v>31489.34</c:v>
                </c:pt>
                <c:pt idx="4">
                  <c:v>487428.85</c:v>
                </c:pt>
                <c:pt idx="5">
                  <c:v>49714.81</c:v>
                </c:pt>
                <c:pt idx="6">
                  <c:v>23903.019999999997</c:v>
                </c:pt>
                <c:pt idx="7">
                  <c:v>11150.220000000001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89745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7960.34</c:v>
                </c:pt>
                <c:pt idx="1">
                  <c:v>13020</c:v>
                </c:pt>
                <c:pt idx="2">
                  <c:v>89836.05</c:v>
                </c:pt>
                <c:pt idx="3">
                  <c:v>36236.060000000005</c:v>
                </c:pt>
                <c:pt idx="4">
                  <c:v>74509.459999999992</c:v>
                </c:pt>
                <c:pt idx="5">
                  <c:v>18479.25</c:v>
                </c:pt>
                <c:pt idx="6">
                  <c:v>33563.479999999996</c:v>
                </c:pt>
                <c:pt idx="7">
                  <c:v>24526.14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236349.4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-13750</c:v>
                </c:pt>
                <c:pt idx="1">
                  <c:v>0</c:v>
                </c:pt>
                <c:pt idx="2">
                  <c:v>2212.8000000000002</c:v>
                </c:pt>
                <c:pt idx="3">
                  <c:v>3498.49</c:v>
                </c:pt>
                <c:pt idx="4">
                  <c:v>-17822.8</c:v>
                </c:pt>
                <c:pt idx="5">
                  <c:v>-8160</c:v>
                </c:pt>
                <c:pt idx="6">
                  <c:v>39758.949999999997</c:v>
                </c:pt>
                <c:pt idx="7">
                  <c:v>4646.37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65653.179999999993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-22000</c:v>
                </c:pt>
                <c:pt idx="1">
                  <c:v>4932</c:v>
                </c:pt>
                <c:pt idx="2">
                  <c:v>46385</c:v>
                </c:pt>
                <c:pt idx="3">
                  <c:v>32651.5</c:v>
                </c:pt>
                <c:pt idx="4">
                  <c:v>0</c:v>
                </c:pt>
                <c:pt idx="5">
                  <c:v>0</c:v>
                </c:pt>
                <c:pt idx="6">
                  <c:v>1335.6</c:v>
                </c:pt>
                <c:pt idx="7">
                  <c:v>6346.24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14216.990000000002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597064.47</c:v>
                </c:pt>
                <c:pt idx="1">
                  <c:v>196346</c:v>
                </c:pt>
                <c:pt idx="2">
                  <c:v>42096</c:v>
                </c:pt>
                <c:pt idx="3">
                  <c:v>503229.43000000005</c:v>
                </c:pt>
                <c:pt idx="4">
                  <c:v>154829.93</c:v>
                </c:pt>
                <c:pt idx="5">
                  <c:v>0</c:v>
                </c:pt>
                <c:pt idx="6">
                  <c:v>9358.93</c:v>
                </c:pt>
                <c:pt idx="7">
                  <c:v>242880.19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63150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150275.01999999999</c:v>
                </c:pt>
                <c:pt idx="1">
                  <c:v>2099</c:v>
                </c:pt>
                <c:pt idx="2">
                  <c:v>117253.26999999999</c:v>
                </c:pt>
                <c:pt idx="3">
                  <c:v>31605.66</c:v>
                </c:pt>
                <c:pt idx="4">
                  <c:v>57076.7</c:v>
                </c:pt>
                <c:pt idx="5">
                  <c:v>13020</c:v>
                </c:pt>
                <c:pt idx="6">
                  <c:v>0</c:v>
                </c:pt>
                <c:pt idx="7">
                  <c:v>4932</c:v>
                </c:pt>
                <c:pt idx="8">
                  <c:v>196346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118618.90000000001</c:v>
                </c:pt>
                <c:pt idx="1">
                  <c:v>0</c:v>
                </c:pt>
                <c:pt idx="2">
                  <c:v>79569.060000000012</c:v>
                </c:pt>
                <c:pt idx="3">
                  <c:v>121293.59</c:v>
                </c:pt>
                <c:pt idx="4">
                  <c:v>95508.34</c:v>
                </c:pt>
                <c:pt idx="5">
                  <c:v>89836.05</c:v>
                </c:pt>
                <c:pt idx="6">
                  <c:v>2212.8000000000002</c:v>
                </c:pt>
                <c:pt idx="7">
                  <c:v>46385</c:v>
                </c:pt>
                <c:pt idx="8">
                  <c:v>42096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112171.48</c:v>
                </c:pt>
                <c:pt idx="1">
                  <c:v>0</c:v>
                </c:pt>
                <c:pt idx="2">
                  <c:v>52791.859999999993</c:v>
                </c:pt>
                <c:pt idx="3">
                  <c:v>77087.38</c:v>
                </c:pt>
                <c:pt idx="4">
                  <c:v>31489.34</c:v>
                </c:pt>
                <c:pt idx="5">
                  <c:v>36236.060000000005</c:v>
                </c:pt>
                <c:pt idx="6">
                  <c:v>3498.49</c:v>
                </c:pt>
                <c:pt idx="7">
                  <c:v>32651.5</c:v>
                </c:pt>
                <c:pt idx="8">
                  <c:v>503229.43000000005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118490.79999999999</c:v>
                </c:pt>
                <c:pt idx="1">
                  <c:v>4006.8</c:v>
                </c:pt>
                <c:pt idx="2">
                  <c:v>47212.5</c:v>
                </c:pt>
                <c:pt idx="3">
                  <c:v>97596.62000000001</c:v>
                </c:pt>
                <c:pt idx="4">
                  <c:v>487428.85</c:v>
                </c:pt>
                <c:pt idx="5">
                  <c:v>74509.459999999992</c:v>
                </c:pt>
                <c:pt idx="6">
                  <c:v>-17822.8</c:v>
                </c:pt>
                <c:pt idx="7">
                  <c:v>0</c:v>
                </c:pt>
                <c:pt idx="8">
                  <c:v>154829.93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171177.33</c:v>
                </c:pt>
                <c:pt idx="1">
                  <c:v>0</c:v>
                </c:pt>
                <c:pt idx="2">
                  <c:v>286221.24</c:v>
                </c:pt>
                <c:pt idx="3">
                  <c:v>164960.33000000002</c:v>
                </c:pt>
                <c:pt idx="4">
                  <c:v>49714.81</c:v>
                </c:pt>
                <c:pt idx="5">
                  <c:v>18479.25</c:v>
                </c:pt>
                <c:pt idx="6">
                  <c:v>-8160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116466.81999999999</c:v>
                </c:pt>
                <c:pt idx="1">
                  <c:v>0</c:v>
                </c:pt>
                <c:pt idx="2">
                  <c:v>252640.72999999998</c:v>
                </c:pt>
                <c:pt idx="3">
                  <c:v>475745.91000000003</c:v>
                </c:pt>
                <c:pt idx="4">
                  <c:v>23903.019999999997</c:v>
                </c:pt>
                <c:pt idx="5">
                  <c:v>33563.479999999996</c:v>
                </c:pt>
                <c:pt idx="6">
                  <c:v>39758.949999999997</c:v>
                </c:pt>
                <c:pt idx="7">
                  <c:v>1335.6</c:v>
                </c:pt>
                <c:pt idx="8">
                  <c:v>9358.93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U297"/>
  <sheetViews>
    <sheetView showGridLines="0" tabSelected="1" zoomScaleNormal="100" zoomScaleSheetLayoutView="85" workbookViewId="0">
      <pane xSplit="3" ySplit="7" topLeftCell="N179" activePane="bottomRight" state="frozen"/>
      <selection pane="topRight" activeCell="D1" sqref="D1"/>
      <selection pane="bottomLeft" activeCell="A8" sqref="A8"/>
      <selection pane="bottomRight" activeCell="C186" sqref="C186"/>
    </sheetView>
  </sheetViews>
  <sheetFormatPr defaultRowHeight="12.75" x14ac:dyDescent="0.2"/>
  <cols>
    <col min="1" max="1" width="47.85546875" style="3" customWidth="1"/>
    <col min="2" max="2" width="13.140625" style="64" customWidth="1"/>
    <col min="3" max="3" width="14.28515625" style="102" customWidth="1"/>
    <col min="4" max="14" width="13.5703125" style="71" customWidth="1"/>
    <col min="15" max="15" width="13.5703125" style="159" customWidth="1"/>
    <col min="16" max="17" width="13.5703125" style="47" customWidth="1"/>
    <col min="18" max="18" width="12.42578125" style="2" customWidth="1"/>
    <col min="19" max="19" width="15" style="2" customWidth="1"/>
    <col min="20" max="20" width="11.5703125" style="3" customWidth="1"/>
    <col min="21" max="21" width="9.140625" style="3" customWidth="1"/>
    <col min="22" max="16384" width="9.140625" style="3"/>
  </cols>
  <sheetData>
    <row r="1" spans="1:19" s="2" customFormat="1" ht="35.1" hidden="1" customHeight="1" x14ac:dyDescent="0.2">
      <c r="A1" s="173" t="s">
        <v>249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9" s="8" customFormat="1" ht="18" hidden="1" customHeight="1" x14ac:dyDescent="0.2">
      <c r="A2" s="17"/>
      <c r="B2" s="51"/>
      <c r="C2" s="89"/>
      <c r="D2" s="72"/>
      <c r="E2" s="72"/>
      <c r="F2" s="72"/>
      <c r="G2" s="72"/>
      <c r="H2" s="72"/>
      <c r="I2" s="84"/>
      <c r="J2" s="84"/>
      <c r="K2" s="84"/>
      <c r="L2" s="84"/>
      <c r="M2" s="84"/>
      <c r="N2" s="84"/>
      <c r="O2" s="139"/>
      <c r="P2" s="28"/>
      <c r="Q2" s="28"/>
      <c r="S2" s="7"/>
    </row>
    <row r="3" spans="1:19" s="2" customFormat="1" ht="19.5" customHeight="1" x14ac:dyDescent="0.25">
      <c r="A3" s="5"/>
      <c r="B3" s="52"/>
      <c r="C3" s="90" t="s">
        <v>14</v>
      </c>
      <c r="D3" s="177" t="s">
        <v>182</v>
      </c>
      <c r="E3" s="178"/>
      <c r="F3" s="178"/>
      <c r="G3" s="178"/>
      <c r="H3" s="178"/>
      <c r="I3" s="178"/>
      <c r="J3" s="178"/>
      <c r="K3" s="178"/>
      <c r="L3" s="178"/>
      <c r="M3" s="137"/>
      <c r="N3" s="138"/>
      <c r="O3" s="140"/>
      <c r="P3" s="176" t="s">
        <v>282</v>
      </c>
      <c r="Q3" s="176" t="s">
        <v>256</v>
      </c>
    </row>
    <row r="4" spans="1:19" s="7" customFormat="1" ht="21" customHeight="1" x14ac:dyDescent="0.2">
      <c r="A4" s="6"/>
      <c r="B4" s="53"/>
      <c r="C4" s="91" t="s">
        <v>175</v>
      </c>
      <c r="D4" s="127" t="s">
        <v>3</v>
      </c>
      <c r="E4" s="128" t="s">
        <v>4</v>
      </c>
      <c r="F4" s="128" t="s">
        <v>5</v>
      </c>
      <c r="G4" s="128" t="s">
        <v>6</v>
      </c>
      <c r="H4" s="129" t="s">
        <v>7</v>
      </c>
      <c r="I4" s="130" t="s">
        <v>8</v>
      </c>
      <c r="J4" s="127" t="s">
        <v>9</v>
      </c>
      <c r="K4" s="129" t="s">
        <v>10</v>
      </c>
      <c r="L4" s="129" t="s">
        <v>277</v>
      </c>
      <c r="M4" s="129" t="s">
        <v>11</v>
      </c>
      <c r="N4" s="128"/>
      <c r="O4" s="141" t="s">
        <v>12</v>
      </c>
      <c r="P4" s="176"/>
      <c r="Q4" s="176"/>
    </row>
    <row r="5" spans="1:19" s="7" customFormat="1" ht="6.95" customHeight="1" x14ac:dyDescent="0.2">
      <c r="A5" s="6"/>
      <c r="B5" s="53"/>
      <c r="C5" s="92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42"/>
      <c r="P5" s="124"/>
      <c r="Q5" s="124"/>
    </row>
    <row r="6" spans="1:19" s="7" customFormat="1" ht="20.100000000000001" customHeight="1" x14ac:dyDescent="0.2">
      <c r="A6" s="174" t="s">
        <v>117</v>
      </c>
      <c r="B6" s="174"/>
      <c r="C6" s="174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</row>
    <row r="7" spans="1:19" s="7" customFormat="1" ht="6.75" customHeight="1" x14ac:dyDescent="0.2">
      <c r="A7" s="1"/>
      <c r="B7" s="54"/>
      <c r="C7" s="93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143"/>
      <c r="P7" s="30"/>
      <c r="Q7" s="30"/>
    </row>
    <row r="8" spans="1:19" s="8" customFormat="1" ht="15" customHeight="1" x14ac:dyDescent="0.2">
      <c r="A8" s="12" t="s">
        <v>163</v>
      </c>
      <c r="B8" s="55"/>
      <c r="C8" s="88"/>
      <c r="D8" s="31">
        <v>1943000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144"/>
      <c r="P8" s="32">
        <f t="shared" ref="P8:P13" si="0">SUM(D8:N8)</f>
        <v>1943000</v>
      </c>
      <c r="Q8" s="32">
        <f t="shared" ref="Q8:Q13" si="1">SUM(D8:O8)</f>
        <v>1943000</v>
      </c>
      <c r="S8" s="7"/>
    </row>
    <row r="9" spans="1:19" s="8" customFormat="1" ht="15" customHeight="1" x14ac:dyDescent="0.2">
      <c r="A9" s="12" t="s">
        <v>241</v>
      </c>
      <c r="B9" s="55"/>
      <c r="C9" s="88"/>
      <c r="D9" s="31"/>
      <c r="E9" s="31"/>
      <c r="F9" s="31">
        <v>2000000</v>
      </c>
      <c r="G9" s="31">
        <v>500000</v>
      </c>
      <c r="H9" s="31">
        <v>1000000</v>
      </c>
      <c r="I9" s="31">
        <v>1000000</v>
      </c>
      <c r="J9" s="31"/>
      <c r="K9" s="31">
        <v>2500000</v>
      </c>
      <c r="L9" s="31"/>
      <c r="M9" s="31"/>
      <c r="N9" s="31"/>
      <c r="O9" s="144"/>
      <c r="P9" s="32">
        <f t="shared" si="0"/>
        <v>7000000</v>
      </c>
      <c r="Q9" s="32">
        <f t="shared" si="1"/>
        <v>7000000</v>
      </c>
      <c r="S9" s="7"/>
    </row>
    <row r="10" spans="1:19" s="8" customFormat="1" ht="15" customHeight="1" x14ac:dyDescent="0.2">
      <c r="A10" s="12" t="s">
        <v>190</v>
      </c>
      <c r="B10" s="55"/>
      <c r="C10" s="88"/>
      <c r="D10" s="31"/>
      <c r="E10" s="31"/>
      <c r="F10" s="31">
        <f>570000+1500000</f>
        <v>2070000</v>
      </c>
      <c r="G10" s="31">
        <v>97251.53</v>
      </c>
      <c r="H10" s="31"/>
      <c r="I10" s="31"/>
      <c r="J10" s="31"/>
      <c r="K10" s="31"/>
      <c r="L10" s="31"/>
      <c r="M10" s="31"/>
      <c r="N10" s="31"/>
      <c r="O10" s="144"/>
      <c r="P10" s="32">
        <f t="shared" si="0"/>
        <v>2167251.5299999998</v>
      </c>
      <c r="Q10" s="32">
        <f t="shared" si="1"/>
        <v>2167251.5299999998</v>
      </c>
      <c r="S10" s="7"/>
    </row>
    <row r="11" spans="1:19" s="8" customFormat="1" ht="15" customHeight="1" x14ac:dyDescent="0.2">
      <c r="A11" s="12" t="s">
        <v>16</v>
      </c>
      <c r="B11" s="55"/>
      <c r="C11" s="88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44"/>
      <c r="P11" s="32">
        <f t="shared" si="0"/>
        <v>0</v>
      </c>
      <c r="Q11" s="32">
        <f t="shared" si="1"/>
        <v>0</v>
      </c>
      <c r="S11" s="7"/>
    </row>
    <row r="12" spans="1:19" s="8" customFormat="1" ht="15" customHeight="1" x14ac:dyDescent="0.2">
      <c r="A12" s="12" t="s">
        <v>17</v>
      </c>
      <c r="B12" s="55"/>
      <c r="C12" s="88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144"/>
      <c r="P12" s="32">
        <f t="shared" si="0"/>
        <v>0</v>
      </c>
      <c r="Q12" s="32">
        <f t="shared" si="1"/>
        <v>0</v>
      </c>
      <c r="S12" s="7"/>
    </row>
    <row r="13" spans="1:19" s="7" customFormat="1" ht="15" customHeight="1" x14ac:dyDescent="0.2">
      <c r="A13" s="12" t="s">
        <v>18</v>
      </c>
      <c r="B13" s="55"/>
      <c r="C13" s="88"/>
      <c r="D13" s="31"/>
      <c r="E13" s="31"/>
      <c r="F13" s="31"/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/>
      <c r="M13" s="31"/>
      <c r="N13" s="31"/>
      <c r="O13" s="144">
        <v>0</v>
      </c>
      <c r="P13" s="32">
        <f t="shared" si="0"/>
        <v>0</v>
      </c>
      <c r="Q13" s="32">
        <f t="shared" si="1"/>
        <v>0</v>
      </c>
    </row>
    <row r="14" spans="1:19" s="7" customFormat="1" ht="6.95" customHeight="1" x14ac:dyDescent="0.2">
      <c r="A14" s="13"/>
      <c r="B14" s="55"/>
      <c r="C14" s="8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145"/>
      <c r="P14" s="32"/>
      <c r="Q14" s="33"/>
    </row>
    <row r="15" spans="1:19" s="8" customFormat="1" ht="15" customHeight="1" x14ac:dyDescent="0.2">
      <c r="A15" s="14" t="str">
        <f>"TOTAL "&amp;A6</f>
        <v>TOTAL ESTIMATED INCOME</v>
      </c>
      <c r="B15" s="56"/>
      <c r="C15" s="94"/>
      <c r="D15" s="73">
        <f t="shared" ref="D15:E15" si="2">SUM(D8:D13)</f>
        <v>1943000</v>
      </c>
      <c r="E15" s="73">
        <f t="shared" si="2"/>
        <v>0</v>
      </c>
      <c r="F15" s="73">
        <f>SUM(F8:F13)</f>
        <v>4070000</v>
      </c>
      <c r="G15" s="73">
        <f t="shared" ref="G15:Q15" si="3">SUM(G8:G13)</f>
        <v>597251.53</v>
      </c>
      <c r="H15" s="73">
        <f t="shared" si="3"/>
        <v>1000000</v>
      </c>
      <c r="I15" s="73">
        <f t="shared" si="3"/>
        <v>1000000</v>
      </c>
      <c r="J15" s="73">
        <f t="shared" si="3"/>
        <v>0</v>
      </c>
      <c r="K15" s="73">
        <f t="shared" si="3"/>
        <v>2500000</v>
      </c>
      <c r="L15" s="73"/>
      <c r="M15" s="73"/>
      <c r="N15" s="73"/>
      <c r="O15" s="146">
        <f t="shared" si="3"/>
        <v>0</v>
      </c>
      <c r="P15" s="34">
        <f>SUM(D15:N15)</f>
        <v>11110251.530000001</v>
      </c>
      <c r="Q15" s="34">
        <f t="shared" si="3"/>
        <v>11110251.529999999</v>
      </c>
      <c r="S15" s="7"/>
    </row>
    <row r="16" spans="1:19" s="7" customFormat="1" ht="6.95" customHeight="1" x14ac:dyDescent="0.2">
      <c r="A16" s="9"/>
      <c r="B16" s="57"/>
      <c r="C16" s="95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147"/>
      <c r="P16" s="33"/>
      <c r="Q16" s="33"/>
    </row>
    <row r="17" spans="1:19" s="7" customFormat="1" ht="6.95" customHeight="1" x14ac:dyDescent="0.2">
      <c r="A17" s="9"/>
      <c r="B17" s="57"/>
      <c r="C17" s="95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147"/>
      <c r="P17" s="33"/>
      <c r="Q17" s="33"/>
    </row>
    <row r="18" spans="1:19" s="7" customFormat="1" ht="20.100000000000001" customHeight="1" x14ac:dyDescent="0.2">
      <c r="A18" s="169" t="s">
        <v>2</v>
      </c>
      <c r="B18" s="169"/>
      <c r="C18" s="169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</row>
    <row r="19" spans="1:19" s="7" customFormat="1" ht="6.95" customHeight="1" x14ac:dyDescent="0.2">
      <c r="A19" s="1"/>
      <c r="B19" s="54"/>
      <c r="C19" s="93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148"/>
      <c r="P19" s="35"/>
      <c r="Q19" s="35"/>
    </row>
    <row r="20" spans="1:19" s="7" customFormat="1" ht="18" customHeight="1" x14ac:dyDescent="0.2">
      <c r="A20" s="171" t="s">
        <v>19</v>
      </c>
      <c r="B20" s="171"/>
      <c r="C20" s="171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9" s="7" customFormat="1" ht="6.95" customHeight="1" x14ac:dyDescent="0.2">
      <c r="A21" s="10"/>
      <c r="B21" s="58"/>
      <c r="C21" s="96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148"/>
      <c r="P21" s="36"/>
      <c r="Q21" s="36"/>
    </row>
    <row r="22" spans="1:19" s="8" customFormat="1" ht="15" customHeight="1" x14ac:dyDescent="0.2">
      <c r="A22" s="12" t="s">
        <v>20</v>
      </c>
      <c r="B22" s="55" t="s">
        <v>118</v>
      </c>
      <c r="C22" s="88">
        <v>1022256</v>
      </c>
      <c r="D22" s="37">
        <v>79180.97</v>
      </c>
      <c r="E22" s="37">
        <v>79275</v>
      </c>
      <c r="F22" s="37">
        <v>79475</v>
      </c>
      <c r="G22" s="37">
        <v>79475</v>
      </c>
      <c r="H22" s="37">
        <v>79295</v>
      </c>
      <c r="I22" s="37">
        <v>79439</v>
      </c>
      <c r="J22" s="37">
        <v>80636.58</v>
      </c>
      <c r="K22" s="37">
        <v>78417.23</v>
      </c>
      <c r="L22" s="37">
        <v>72516</v>
      </c>
      <c r="M22" s="37">
        <v>78335.350000000006</v>
      </c>
      <c r="N22" s="37">
        <v>83450</v>
      </c>
      <c r="O22" s="149">
        <v>83450</v>
      </c>
      <c r="P22" s="38">
        <f t="shared" ref="P22:P64" si="4">SUM(D22:N22)</f>
        <v>869495.12999999989</v>
      </c>
      <c r="Q22" s="38">
        <f t="shared" ref="Q22:Q64" si="5">SUM(D22:O22)</f>
        <v>952945.12999999989</v>
      </c>
      <c r="R22" s="68">
        <f t="shared" ref="R22:R65" si="6">C22-Q22</f>
        <v>69310.870000000112</v>
      </c>
      <c r="S22" s="79">
        <f>R22/1</f>
        <v>69310.870000000112</v>
      </c>
    </row>
    <row r="23" spans="1:19" s="7" customFormat="1" ht="15" customHeight="1" x14ac:dyDescent="0.2">
      <c r="A23" s="12" t="s">
        <v>21</v>
      </c>
      <c r="B23" s="55" t="s">
        <v>21</v>
      </c>
      <c r="C23" s="88">
        <v>8400</v>
      </c>
      <c r="D23" s="37">
        <v>700</v>
      </c>
      <c r="E23" s="37">
        <v>700</v>
      </c>
      <c r="F23" s="37">
        <v>700</v>
      </c>
      <c r="G23" s="37">
        <v>700</v>
      </c>
      <c r="H23" s="37">
        <v>700</v>
      </c>
      <c r="I23" s="37">
        <v>700</v>
      </c>
      <c r="J23" s="37">
        <v>700</v>
      </c>
      <c r="K23" s="37">
        <v>700</v>
      </c>
      <c r="L23" s="37">
        <v>700</v>
      </c>
      <c r="M23" s="37">
        <v>700</v>
      </c>
      <c r="N23" s="37">
        <v>700</v>
      </c>
      <c r="O23" s="149">
        <v>700</v>
      </c>
      <c r="P23" s="38">
        <f t="shared" si="4"/>
        <v>7700</v>
      </c>
      <c r="Q23" s="38">
        <f t="shared" si="5"/>
        <v>8400</v>
      </c>
      <c r="R23" s="68">
        <f t="shared" si="6"/>
        <v>0</v>
      </c>
      <c r="S23" s="79">
        <f t="shared" ref="S23:S66" si="7">R23/1</f>
        <v>0</v>
      </c>
    </row>
    <row r="24" spans="1:19" s="7" customFormat="1" ht="15" customHeight="1" x14ac:dyDescent="0.2">
      <c r="A24" s="12" t="s">
        <v>22</v>
      </c>
      <c r="B24" s="55" t="s">
        <v>119</v>
      </c>
      <c r="C24" s="88">
        <v>170376</v>
      </c>
      <c r="D24" s="37">
        <v>0</v>
      </c>
      <c r="E24" s="37"/>
      <c r="F24" s="37"/>
      <c r="G24" s="37"/>
      <c r="H24" s="37"/>
      <c r="I24" s="37">
        <v>59043.75</v>
      </c>
      <c r="J24" s="37"/>
      <c r="K24" s="37"/>
      <c r="L24" s="37"/>
      <c r="M24" s="37"/>
      <c r="N24" s="37"/>
      <c r="O24" s="149">
        <v>36000</v>
      </c>
      <c r="P24" s="38">
        <f t="shared" si="4"/>
        <v>59043.75</v>
      </c>
      <c r="Q24" s="38">
        <f t="shared" si="5"/>
        <v>95043.75</v>
      </c>
      <c r="R24" s="68">
        <f t="shared" si="6"/>
        <v>75332.25</v>
      </c>
      <c r="S24" s="79">
        <f t="shared" si="7"/>
        <v>75332.25</v>
      </c>
    </row>
    <row r="25" spans="1:19" s="7" customFormat="1" ht="15" customHeight="1" x14ac:dyDescent="0.2">
      <c r="A25" s="12" t="s">
        <v>23</v>
      </c>
      <c r="B25" s="55" t="s">
        <v>23</v>
      </c>
      <c r="C25" s="88">
        <v>155042.16</v>
      </c>
      <c r="D25" s="37">
        <v>10104</v>
      </c>
      <c r="E25" s="37">
        <v>10136</v>
      </c>
      <c r="F25" s="37">
        <v>10162</v>
      </c>
      <c r="G25" s="37">
        <v>10162</v>
      </c>
      <c r="H25" s="37">
        <v>10162</v>
      </c>
      <c r="I25" s="37">
        <v>10162</v>
      </c>
      <c r="J25" s="37">
        <v>10317</v>
      </c>
      <c r="K25" s="37">
        <v>10014</v>
      </c>
      <c r="L25" s="37">
        <v>9294</v>
      </c>
      <c r="M25" s="37">
        <v>10017</v>
      </c>
      <c r="N25" s="37">
        <v>10604</v>
      </c>
      <c r="O25" s="149">
        <v>17000</v>
      </c>
      <c r="P25" s="38">
        <f t="shared" si="4"/>
        <v>111134</v>
      </c>
      <c r="Q25" s="38">
        <f t="shared" si="5"/>
        <v>128134</v>
      </c>
      <c r="R25" s="68">
        <f t="shared" si="6"/>
        <v>26908.160000000003</v>
      </c>
      <c r="S25" s="79">
        <f t="shared" si="7"/>
        <v>26908.160000000003</v>
      </c>
    </row>
    <row r="26" spans="1:19" s="7" customFormat="1" ht="15" customHeight="1" x14ac:dyDescent="0.2">
      <c r="A26" s="12" t="s">
        <v>24</v>
      </c>
      <c r="B26" s="55" t="s">
        <v>24</v>
      </c>
      <c r="C26" s="88">
        <v>12000</v>
      </c>
      <c r="D26" s="37">
        <v>1047.5999999999999</v>
      </c>
      <c r="E26" s="37">
        <v>1049.4000000000001</v>
      </c>
      <c r="F26" s="37">
        <v>1052.9000000000001</v>
      </c>
      <c r="G26" s="37">
        <v>1052.9000000000001</v>
      </c>
      <c r="H26" s="37">
        <v>1052.9000000000001</v>
      </c>
      <c r="I26" s="37">
        <v>1052.9000000000001</v>
      </c>
      <c r="J26" s="37">
        <v>1090.55</v>
      </c>
      <c r="K26" s="37">
        <v>1047.7</v>
      </c>
      <c r="L26" s="37">
        <v>978.65</v>
      </c>
      <c r="M26" s="37">
        <v>995.2</v>
      </c>
      <c r="N26" s="37">
        <v>1051.2</v>
      </c>
      <c r="O26" s="149">
        <v>1050</v>
      </c>
      <c r="P26" s="38">
        <f t="shared" si="4"/>
        <v>11471.900000000001</v>
      </c>
      <c r="Q26" s="38">
        <f t="shared" si="5"/>
        <v>12521.900000000001</v>
      </c>
      <c r="R26" s="68">
        <f t="shared" si="6"/>
        <v>-521.90000000000146</v>
      </c>
      <c r="S26" s="79">
        <f t="shared" si="7"/>
        <v>-521.90000000000146</v>
      </c>
    </row>
    <row r="27" spans="1:19" s="7" customFormat="1" ht="15" customHeight="1" x14ac:dyDescent="0.2">
      <c r="A27" s="12" t="s">
        <v>25</v>
      </c>
      <c r="B27" s="55" t="s">
        <v>25</v>
      </c>
      <c r="C27" s="88">
        <v>6600</v>
      </c>
      <c r="D27" s="37">
        <v>88</v>
      </c>
      <c r="E27" s="37">
        <v>137</v>
      </c>
      <c r="F27" s="37">
        <v>121</v>
      </c>
      <c r="G27" s="37">
        <v>0</v>
      </c>
      <c r="H27" s="37">
        <v>327</v>
      </c>
      <c r="I27" s="37">
        <v>101</v>
      </c>
      <c r="J27" s="37">
        <v>35</v>
      </c>
      <c r="K27" s="37">
        <v>141</v>
      </c>
      <c r="L27" s="37">
        <v>87</v>
      </c>
      <c r="M27" s="37">
        <v>52</v>
      </c>
      <c r="N27" s="37">
        <v>1</v>
      </c>
      <c r="O27" s="149">
        <v>2000</v>
      </c>
      <c r="P27" s="38">
        <f t="shared" si="4"/>
        <v>1090</v>
      </c>
      <c r="Q27" s="38">
        <f t="shared" si="5"/>
        <v>3090</v>
      </c>
      <c r="R27" s="68">
        <f t="shared" si="6"/>
        <v>3510</v>
      </c>
      <c r="S27" s="79">
        <f t="shared" si="7"/>
        <v>3510</v>
      </c>
    </row>
    <row r="28" spans="1:19" s="7" customFormat="1" ht="15" customHeight="1" x14ac:dyDescent="0.2">
      <c r="A28" s="12" t="s">
        <v>26</v>
      </c>
      <c r="B28" s="55" t="s">
        <v>120</v>
      </c>
      <c r="C28" s="88">
        <v>2400</v>
      </c>
      <c r="D28" s="37">
        <v>150</v>
      </c>
      <c r="E28" s="37">
        <v>150</v>
      </c>
      <c r="F28" s="37">
        <v>150</v>
      </c>
      <c r="G28" s="37">
        <v>150</v>
      </c>
      <c r="H28" s="37">
        <v>150</v>
      </c>
      <c r="I28" s="37">
        <v>150</v>
      </c>
      <c r="J28" s="37">
        <v>332.99</v>
      </c>
      <c r="K28" s="37">
        <v>150</v>
      </c>
      <c r="L28" s="37">
        <v>150</v>
      </c>
      <c r="M28" s="37">
        <v>150</v>
      </c>
      <c r="N28" s="37">
        <v>150</v>
      </c>
      <c r="O28" s="149">
        <v>150</v>
      </c>
      <c r="P28" s="38">
        <f t="shared" si="4"/>
        <v>1832.99</v>
      </c>
      <c r="Q28" s="38">
        <f t="shared" si="5"/>
        <v>1982.99</v>
      </c>
      <c r="R28" s="68">
        <f t="shared" si="6"/>
        <v>417.01</v>
      </c>
      <c r="S28" s="79">
        <f t="shared" si="7"/>
        <v>417.01</v>
      </c>
    </row>
    <row r="29" spans="1:19" s="7" customFormat="1" ht="15" customHeight="1" x14ac:dyDescent="0.2">
      <c r="A29" s="12" t="s">
        <v>0</v>
      </c>
      <c r="B29" s="55" t="s">
        <v>0</v>
      </c>
      <c r="C29" s="88">
        <v>45000</v>
      </c>
      <c r="D29" s="37"/>
      <c r="E29" s="37">
        <v>35893.86</v>
      </c>
      <c r="F29" s="37">
        <v>4830.8100000000004</v>
      </c>
      <c r="G29" s="37"/>
      <c r="H29" s="37"/>
      <c r="I29" s="125"/>
      <c r="J29" s="125">
        <v>776.84</v>
      </c>
      <c r="K29" s="125">
        <v>2262.91</v>
      </c>
      <c r="L29" s="125">
        <v>388.42</v>
      </c>
      <c r="M29" s="125">
        <v>1049.8499999999999</v>
      </c>
      <c r="N29" s="125"/>
      <c r="O29" s="150">
        <v>0</v>
      </c>
      <c r="P29" s="38">
        <f t="shared" si="4"/>
        <v>45202.689999999995</v>
      </c>
      <c r="Q29" s="38">
        <f t="shared" si="5"/>
        <v>45202.689999999995</v>
      </c>
      <c r="R29" s="68">
        <f t="shared" si="6"/>
        <v>-202.68999999999505</v>
      </c>
      <c r="S29" s="79">
        <f t="shared" si="7"/>
        <v>-202.68999999999505</v>
      </c>
    </row>
    <row r="30" spans="1:19" s="7" customFormat="1" ht="15" customHeight="1" x14ac:dyDescent="0.2">
      <c r="A30" s="12" t="s">
        <v>27</v>
      </c>
      <c r="B30" s="55" t="s">
        <v>121</v>
      </c>
      <c r="C30" s="88">
        <v>5000</v>
      </c>
      <c r="D30" s="37">
        <v>0</v>
      </c>
      <c r="E30" s="37">
        <v>700</v>
      </c>
      <c r="F30" s="37">
        <v>214.5</v>
      </c>
      <c r="G30" s="37">
        <v>175</v>
      </c>
      <c r="H30" s="37">
        <v>0</v>
      </c>
      <c r="I30" s="37"/>
      <c r="J30" s="37"/>
      <c r="K30" s="37"/>
      <c r="L30" s="37"/>
      <c r="M30" s="37"/>
      <c r="N30" s="37"/>
      <c r="O30" s="149">
        <v>0</v>
      </c>
      <c r="P30" s="38">
        <f t="shared" si="4"/>
        <v>1089.5</v>
      </c>
      <c r="Q30" s="38">
        <f t="shared" si="5"/>
        <v>1089.5</v>
      </c>
      <c r="R30" s="68">
        <f t="shared" si="6"/>
        <v>3910.5</v>
      </c>
      <c r="S30" s="79">
        <f t="shared" si="7"/>
        <v>3910.5</v>
      </c>
    </row>
    <row r="31" spans="1:19" s="7" customFormat="1" ht="15" customHeight="1" x14ac:dyDescent="0.2">
      <c r="A31" s="12" t="s">
        <v>28</v>
      </c>
      <c r="B31" s="55" t="s">
        <v>122</v>
      </c>
      <c r="C31" s="88">
        <v>18000</v>
      </c>
      <c r="D31" s="37">
        <v>378</v>
      </c>
      <c r="E31" s="37">
        <v>1008.92</v>
      </c>
      <c r="F31" s="37">
        <v>816.83</v>
      </c>
      <c r="G31" s="37">
        <v>1350.96</v>
      </c>
      <c r="H31" s="37">
        <v>1036.8399999999999</v>
      </c>
      <c r="I31" s="37">
        <v>968.61</v>
      </c>
      <c r="J31" s="37">
        <v>1352.58</v>
      </c>
      <c r="K31" s="37">
        <v>1126.31</v>
      </c>
      <c r="L31" s="37">
        <v>1094.6099999999999</v>
      </c>
      <c r="M31" s="37">
        <v>1269.94</v>
      </c>
      <c r="N31" s="37">
        <v>1352.68</v>
      </c>
      <c r="O31" s="149">
        <v>1500</v>
      </c>
      <c r="P31" s="38">
        <f t="shared" si="4"/>
        <v>11756.28</v>
      </c>
      <c r="Q31" s="38">
        <f t="shared" si="5"/>
        <v>13256.28</v>
      </c>
      <c r="R31" s="68">
        <f t="shared" si="6"/>
        <v>4743.7199999999993</v>
      </c>
      <c r="S31" s="79">
        <f t="shared" si="7"/>
        <v>4743.7199999999993</v>
      </c>
    </row>
    <row r="32" spans="1:19" s="7" customFormat="1" ht="15" customHeight="1" x14ac:dyDescent="0.2">
      <c r="A32" s="12" t="s">
        <v>29</v>
      </c>
      <c r="B32" s="55" t="s">
        <v>29</v>
      </c>
      <c r="C32" s="88">
        <v>20000</v>
      </c>
      <c r="D32" s="37">
        <v>0</v>
      </c>
      <c r="E32" s="37"/>
      <c r="F32" s="37"/>
      <c r="G32" s="37"/>
      <c r="H32" s="37"/>
      <c r="I32" s="37"/>
      <c r="J32" s="37"/>
      <c r="K32" s="37"/>
      <c r="L32" s="37">
        <v>17843.13</v>
      </c>
      <c r="M32" s="37"/>
      <c r="N32" s="37"/>
      <c r="O32" s="149"/>
      <c r="P32" s="38">
        <f t="shared" si="4"/>
        <v>17843.13</v>
      </c>
      <c r="Q32" s="38">
        <f t="shared" si="5"/>
        <v>17843.13</v>
      </c>
      <c r="R32" s="68">
        <f t="shared" si="6"/>
        <v>2156.869999999999</v>
      </c>
      <c r="S32" s="79">
        <f t="shared" si="7"/>
        <v>2156.869999999999</v>
      </c>
    </row>
    <row r="33" spans="1:20" s="7" customFormat="1" ht="15" customHeight="1" x14ac:dyDescent="0.2">
      <c r="A33" s="12" t="s">
        <v>31</v>
      </c>
      <c r="B33" s="55" t="s">
        <v>123</v>
      </c>
      <c r="C33" s="88">
        <v>30000</v>
      </c>
      <c r="D33" s="37">
        <v>1797.09</v>
      </c>
      <c r="E33" s="37">
        <v>3144.54</v>
      </c>
      <c r="F33" s="37">
        <v>2643.49</v>
      </c>
      <c r="G33" s="37">
        <v>2832.04</v>
      </c>
      <c r="H33" s="37">
        <v>3695.99</v>
      </c>
      <c r="I33" s="37">
        <v>697.55</v>
      </c>
      <c r="J33" s="37">
        <v>4760.53</v>
      </c>
      <c r="K33" s="37">
        <v>2696.14</v>
      </c>
      <c r="L33" s="37">
        <v>2732.94</v>
      </c>
      <c r="M33" s="37">
        <v>2108.7399999999998</v>
      </c>
      <c r="N33" s="37">
        <v>3365.44</v>
      </c>
      <c r="O33" s="149">
        <v>4000</v>
      </c>
      <c r="P33" s="38">
        <f t="shared" si="4"/>
        <v>30474.489999999994</v>
      </c>
      <c r="Q33" s="38">
        <f t="shared" si="5"/>
        <v>34474.489999999991</v>
      </c>
      <c r="R33" s="68">
        <f t="shared" si="6"/>
        <v>-4474.4899999999907</v>
      </c>
      <c r="S33" s="79">
        <f t="shared" si="7"/>
        <v>-4474.4899999999907</v>
      </c>
    </row>
    <row r="34" spans="1:20" s="7" customFormat="1" ht="15" customHeight="1" x14ac:dyDescent="0.2">
      <c r="A34" s="12" t="s">
        <v>32</v>
      </c>
      <c r="B34" s="55" t="s">
        <v>124</v>
      </c>
      <c r="C34" s="88">
        <v>20000</v>
      </c>
      <c r="D34" s="37">
        <v>0</v>
      </c>
      <c r="E34" s="37">
        <v>1230.3</v>
      </c>
      <c r="F34" s="37">
        <v>1360.47</v>
      </c>
      <c r="G34" s="37">
        <v>1446.35</v>
      </c>
      <c r="H34" s="37">
        <v>1524.75</v>
      </c>
      <c r="I34" s="37">
        <v>1360.05</v>
      </c>
      <c r="J34" s="37">
        <v>1048.05</v>
      </c>
      <c r="K34" s="37">
        <v>1629.1</v>
      </c>
      <c r="L34" s="37">
        <v>1283.75</v>
      </c>
      <c r="M34" s="37">
        <v>1399.5</v>
      </c>
      <c r="N34" s="37"/>
      <c r="O34" s="149">
        <v>4008.9</v>
      </c>
      <c r="P34" s="38">
        <f t="shared" si="4"/>
        <v>12282.32</v>
      </c>
      <c r="Q34" s="38">
        <f t="shared" si="5"/>
        <v>16291.22</v>
      </c>
      <c r="R34" s="68">
        <f t="shared" si="6"/>
        <v>3708.7800000000007</v>
      </c>
      <c r="S34" s="79">
        <f t="shared" si="7"/>
        <v>3708.7800000000007</v>
      </c>
    </row>
    <row r="35" spans="1:20" s="7" customFormat="1" ht="15" customHeight="1" x14ac:dyDescent="0.2">
      <c r="A35" s="12" t="s">
        <v>33</v>
      </c>
      <c r="B35" s="55" t="s">
        <v>125</v>
      </c>
      <c r="C35" s="88">
        <v>108500</v>
      </c>
      <c r="D35" s="37">
        <v>8522.4</v>
      </c>
      <c r="E35" s="37">
        <v>8522.4</v>
      </c>
      <c r="F35" s="37">
        <v>8522.4</v>
      </c>
      <c r="G35" s="37">
        <v>8522.4</v>
      </c>
      <c r="H35" s="37">
        <v>8522.4</v>
      </c>
      <c r="I35" s="37">
        <v>8522.4</v>
      </c>
      <c r="J35" s="37">
        <v>9720.4</v>
      </c>
      <c r="K35" s="37">
        <v>8522.4</v>
      </c>
      <c r="L35" s="37">
        <v>8522.4</v>
      </c>
      <c r="M35" s="37">
        <v>8522.4</v>
      </c>
      <c r="N35" s="37">
        <v>8522.4</v>
      </c>
      <c r="O35" s="149">
        <v>8522.4</v>
      </c>
      <c r="P35" s="38">
        <f t="shared" si="4"/>
        <v>94944.39999999998</v>
      </c>
      <c r="Q35" s="38">
        <f t="shared" si="5"/>
        <v>103466.79999999997</v>
      </c>
      <c r="R35" s="118">
        <f t="shared" si="6"/>
        <v>5033.2000000000262</v>
      </c>
      <c r="S35" s="79">
        <f t="shared" si="7"/>
        <v>5033.2000000000262</v>
      </c>
    </row>
    <row r="36" spans="1:20" s="7" customFormat="1" ht="15" customHeight="1" x14ac:dyDescent="0.2">
      <c r="A36" s="12" t="s">
        <v>34</v>
      </c>
      <c r="B36" s="55" t="s">
        <v>34</v>
      </c>
      <c r="C36" s="88">
        <v>6800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149">
        <v>4500</v>
      </c>
      <c r="P36" s="38">
        <f t="shared" si="4"/>
        <v>0</v>
      </c>
      <c r="Q36" s="38">
        <f t="shared" si="5"/>
        <v>4500</v>
      </c>
      <c r="R36" s="68">
        <f t="shared" si="6"/>
        <v>2300</v>
      </c>
      <c r="S36" s="79">
        <f t="shared" si="7"/>
        <v>2300</v>
      </c>
    </row>
    <row r="37" spans="1:20" s="7" customFormat="1" ht="15" customHeight="1" x14ac:dyDescent="0.2">
      <c r="A37" s="12" t="s">
        <v>35</v>
      </c>
      <c r="B37" s="55" t="s">
        <v>126</v>
      </c>
      <c r="C37" s="88">
        <v>25000</v>
      </c>
      <c r="D37" s="37"/>
      <c r="E37" s="37">
        <v>0</v>
      </c>
      <c r="F37" s="37">
        <v>3975</v>
      </c>
      <c r="G37" s="37">
        <v>0</v>
      </c>
      <c r="H37" s="37">
        <v>795</v>
      </c>
      <c r="I37" s="37"/>
      <c r="J37" s="37"/>
      <c r="K37" s="37">
        <v>2332</v>
      </c>
      <c r="L37" s="37"/>
      <c r="M37" s="37"/>
      <c r="N37" s="37">
        <v>742</v>
      </c>
      <c r="O37" s="149">
        <v>0</v>
      </c>
      <c r="P37" s="38">
        <f t="shared" si="4"/>
        <v>7844</v>
      </c>
      <c r="Q37" s="38">
        <f t="shared" si="5"/>
        <v>7844</v>
      </c>
      <c r="R37" s="68">
        <f t="shared" si="6"/>
        <v>17156</v>
      </c>
      <c r="S37" s="79">
        <f t="shared" si="7"/>
        <v>17156</v>
      </c>
    </row>
    <row r="38" spans="1:20" s="7" customFormat="1" ht="15" customHeight="1" x14ac:dyDescent="0.2">
      <c r="A38" s="12" t="s">
        <v>36</v>
      </c>
      <c r="B38" s="55" t="s">
        <v>36</v>
      </c>
      <c r="C38" s="88">
        <v>12000</v>
      </c>
      <c r="D38" s="37">
        <v>0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149">
        <v>5000</v>
      </c>
      <c r="P38" s="38">
        <f t="shared" si="4"/>
        <v>0</v>
      </c>
      <c r="Q38" s="38">
        <f t="shared" si="5"/>
        <v>5000</v>
      </c>
      <c r="R38" s="68">
        <f t="shared" si="6"/>
        <v>7000</v>
      </c>
      <c r="S38" s="79">
        <f t="shared" si="7"/>
        <v>7000</v>
      </c>
      <c r="T38" s="7">
        <v>1900</v>
      </c>
    </row>
    <row r="39" spans="1:20" s="7" customFormat="1" ht="15" customHeight="1" x14ac:dyDescent="0.2">
      <c r="A39" s="12" t="s">
        <v>37</v>
      </c>
      <c r="B39" s="55" t="s">
        <v>127</v>
      </c>
      <c r="C39" s="88">
        <v>20000</v>
      </c>
      <c r="D39" s="37">
        <v>1223.47</v>
      </c>
      <c r="E39" s="37">
        <v>31.8</v>
      </c>
      <c r="F39" s="37">
        <v>531.5</v>
      </c>
      <c r="G39" s="37">
        <v>1248.75</v>
      </c>
      <c r="H39" s="37">
        <v>1579.03</v>
      </c>
      <c r="I39" s="37">
        <v>2473.52</v>
      </c>
      <c r="J39" s="37">
        <v>636.54999999999995</v>
      </c>
      <c r="K39" s="37">
        <v>206.4</v>
      </c>
      <c r="L39" s="37">
        <v>4411.92</v>
      </c>
      <c r="M39" s="37">
        <v>1789.42</v>
      </c>
      <c r="N39" s="37">
        <v>133.37</v>
      </c>
      <c r="O39" s="149">
        <v>2000</v>
      </c>
      <c r="P39" s="38">
        <f t="shared" si="4"/>
        <v>14265.73</v>
      </c>
      <c r="Q39" s="38">
        <f t="shared" si="5"/>
        <v>16265.73</v>
      </c>
      <c r="R39" s="68">
        <f t="shared" si="6"/>
        <v>3734.2700000000004</v>
      </c>
      <c r="S39" s="79">
        <f t="shared" si="7"/>
        <v>3734.2700000000004</v>
      </c>
    </row>
    <row r="40" spans="1:20" s="7" customFormat="1" ht="15" customHeight="1" x14ac:dyDescent="0.2">
      <c r="A40" s="12" t="s">
        <v>38</v>
      </c>
      <c r="B40" s="55" t="s">
        <v>128</v>
      </c>
      <c r="C40" s="88">
        <v>6000</v>
      </c>
      <c r="D40" s="37">
        <v>278.45</v>
      </c>
      <c r="E40" s="37">
        <v>819.9</v>
      </c>
      <c r="F40" s="37">
        <v>347.58</v>
      </c>
      <c r="G40" s="37">
        <v>540.41</v>
      </c>
      <c r="H40" s="37">
        <f>786.52+142</f>
        <v>928.52</v>
      </c>
      <c r="I40" s="37">
        <v>327.9</v>
      </c>
      <c r="J40" s="37">
        <v>416.65</v>
      </c>
      <c r="K40" s="37">
        <v>658.53</v>
      </c>
      <c r="L40" s="37">
        <v>155</v>
      </c>
      <c r="M40" s="37">
        <v>641.66</v>
      </c>
      <c r="N40" s="37">
        <v>179.73</v>
      </c>
      <c r="O40" s="149">
        <v>400</v>
      </c>
      <c r="P40" s="38">
        <f t="shared" si="4"/>
        <v>5294.329999999999</v>
      </c>
      <c r="Q40" s="38">
        <f t="shared" si="5"/>
        <v>5694.329999999999</v>
      </c>
      <c r="R40" s="68">
        <f t="shared" si="6"/>
        <v>305.67000000000098</v>
      </c>
      <c r="S40" s="79">
        <f t="shared" si="7"/>
        <v>305.67000000000098</v>
      </c>
    </row>
    <row r="41" spans="1:20" s="7" customFormat="1" ht="15" customHeight="1" x14ac:dyDescent="0.2">
      <c r="A41" s="12" t="s">
        <v>39</v>
      </c>
      <c r="B41" s="55" t="s">
        <v>129</v>
      </c>
      <c r="C41" s="88">
        <v>20000</v>
      </c>
      <c r="D41" s="37">
        <v>640.04</v>
      </c>
      <c r="E41" s="37">
        <v>4551.25</v>
      </c>
      <c r="F41" s="37">
        <v>644.98</v>
      </c>
      <c r="G41" s="37">
        <v>1452.06</v>
      </c>
      <c r="H41" s="37">
        <v>2677.75</v>
      </c>
      <c r="I41" s="37">
        <v>798.2</v>
      </c>
      <c r="J41" s="37">
        <v>1652.15</v>
      </c>
      <c r="K41" s="132">
        <v>2616.73</v>
      </c>
      <c r="L41" s="132">
        <v>339.2</v>
      </c>
      <c r="M41" s="132">
        <v>1077.94</v>
      </c>
      <c r="N41" s="132">
        <v>2592.09</v>
      </c>
      <c r="O41" s="151">
        <v>2500</v>
      </c>
      <c r="P41" s="38">
        <f t="shared" si="4"/>
        <v>19042.39</v>
      </c>
      <c r="Q41" s="38">
        <f t="shared" si="5"/>
        <v>21542.39</v>
      </c>
      <c r="R41" s="68">
        <f t="shared" si="6"/>
        <v>-1542.3899999999994</v>
      </c>
      <c r="S41" s="79">
        <f t="shared" si="7"/>
        <v>-1542.3899999999994</v>
      </c>
    </row>
    <row r="42" spans="1:20" s="7" customFormat="1" ht="15" customHeight="1" x14ac:dyDescent="0.2">
      <c r="A42" s="12" t="s">
        <v>40</v>
      </c>
      <c r="B42" s="55" t="s">
        <v>130</v>
      </c>
      <c r="C42" s="88">
        <v>2000</v>
      </c>
      <c r="D42" s="37">
        <v>0</v>
      </c>
      <c r="E42" s="37"/>
      <c r="F42" s="37"/>
      <c r="G42" s="37">
        <v>0</v>
      </c>
      <c r="H42" s="37">
        <v>280</v>
      </c>
      <c r="I42" s="37"/>
      <c r="J42" s="37">
        <v>120</v>
      </c>
      <c r="K42" s="37">
        <v>300</v>
      </c>
      <c r="L42" s="37">
        <v>907.7</v>
      </c>
      <c r="M42" s="37"/>
      <c r="N42" s="37"/>
      <c r="O42" s="149">
        <v>400</v>
      </c>
      <c r="P42" s="38">
        <f t="shared" si="4"/>
        <v>1607.7</v>
      </c>
      <c r="Q42" s="38">
        <f t="shared" si="5"/>
        <v>2007.7</v>
      </c>
      <c r="R42" s="68">
        <f t="shared" si="6"/>
        <v>-7.7000000000000455</v>
      </c>
      <c r="S42" s="79">
        <f t="shared" si="7"/>
        <v>-7.7000000000000455</v>
      </c>
    </row>
    <row r="43" spans="1:20" s="7" customFormat="1" ht="15" customHeight="1" x14ac:dyDescent="0.2">
      <c r="A43" s="12" t="s">
        <v>41</v>
      </c>
      <c r="B43" s="55" t="s">
        <v>131</v>
      </c>
      <c r="C43" s="88">
        <v>30000</v>
      </c>
      <c r="D43" s="37">
        <v>1018.5</v>
      </c>
      <c r="E43" s="37">
        <v>2109.6999999999998</v>
      </c>
      <c r="F43" s="37">
        <v>1578.35</v>
      </c>
      <c r="G43" s="37">
        <v>850</v>
      </c>
      <c r="H43" s="37">
        <f>4734.65+14.55</f>
        <v>4749.2</v>
      </c>
      <c r="I43" s="37">
        <v>864.2</v>
      </c>
      <c r="J43" s="37">
        <v>1221.2</v>
      </c>
      <c r="K43" s="37">
        <v>2578.0500000000002</v>
      </c>
      <c r="L43" s="37">
        <v>1414.3</v>
      </c>
      <c r="M43" s="37">
        <v>2185.15</v>
      </c>
      <c r="N43" s="37">
        <v>8319.08</v>
      </c>
      <c r="O43" s="149">
        <v>3000</v>
      </c>
      <c r="P43" s="38">
        <f t="shared" si="4"/>
        <v>26887.730000000003</v>
      </c>
      <c r="Q43" s="38">
        <f t="shared" si="5"/>
        <v>29887.730000000003</v>
      </c>
      <c r="R43" s="68">
        <f t="shared" si="6"/>
        <v>112.2699999999968</v>
      </c>
      <c r="S43" s="79">
        <f t="shared" si="7"/>
        <v>112.2699999999968</v>
      </c>
    </row>
    <row r="44" spans="1:20" s="7" customFormat="1" ht="15" customHeight="1" x14ac:dyDescent="0.2">
      <c r="A44" s="12" t="s">
        <v>42</v>
      </c>
      <c r="B44" s="55" t="s">
        <v>132</v>
      </c>
      <c r="C44" s="88">
        <v>2100</v>
      </c>
      <c r="D44" s="37">
        <v>300</v>
      </c>
      <c r="E44" s="37"/>
      <c r="F44" s="37"/>
      <c r="G44" s="37"/>
      <c r="H44" s="37"/>
      <c r="I44" s="37">
        <v>42</v>
      </c>
      <c r="J44" s="37">
        <v>504</v>
      </c>
      <c r="K44" s="37">
        <v>448</v>
      </c>
      <c r="L44" s="37">
        <v>81.3</v>
      </c>
      <c r="M44" s="37">
        <v>248.35</v>
      </c>
      <c r="N44" s="37">
        <v>40.700000000000003</v>
      </c>
      <c r="O44" s="149">
        <v>50</v>
      </c>
      <c r="P44" s="38">
        <f t="shared" si="4"/>
        <v>1664.35</v>
      </c>
      <c r="Q44" s="38">
        <f t="shared" si="5"/>
        <v>1714.35</v>
      </c>
      <c r="R44" s="68">
        <f t="shared" si="6"/>
        <v>385.65000000000009</v>
      </c>
      <c r="S44" s="79">
        <f t="shared" si="7"/>
        <v>385.65000000000009</v>
      </c>
    </row>
    <row r="45" spans="1:20" s="7" customFormat="1" ht="15" customHeight="1" x14ac:dyDescent="0.2">
      <c r="A45" s="12" t="s">
        <v>43</v>
      </c>
      <c r="B45" s="55" t="s">
        <v>133</v>
      </c>
      <c r="C45" s="88">
        <v>1500</v>
      </c>
      <c r="D45" s="37">
        <v>59.5</v>
      </c>
      <c r="E45" s="37"/>
      <c r="F45" s="37"/>
      <c r="G45" s="37">
        <v>63</v>
      </c>
      <c r="H45" s="37">
        <v>0</v>
      </c>
      <c r="I45" s="37"/>
      <c r="J45" s="37"/>
      <c r="K45" s="37">
        <v>51</v>
      </c>
      <c r="L45" s="37"/>
      <c r="M45" s="37"/>
      <c r="N45" s="37">
        <v>95.4</v>
      </c>
      <c r="O45" s="149">
        <v>0</v>
      </c>
      <c r="P45" s="38">
        <f t="shared" si="4"/>
        <v>268.89999999999998</v>
      </c>
      <c r="Q45" s="38">
        <f t="shared" si="5"/>
        <v>268.89999999999998</v>
      </c>
      <c r="R45" s="68">
        <f t="shared" si="6"/>
        <v>1231.0999999999999</v>
      </c>
      <c r="S45" s="79">
        <f t="shared" si="7"/>
        <v>1231.0999999999999</v>
      </c>
    </row>
    <row r="46" spans="1:20" s="7" customFormat="1" ht="15" customHeight="1" x14ac:dyDescent="0.2">
      <c r="A46" s="12" t="s">
        <v>44</v>
      </c>
      <c r="B46" s="55" t="s">
        <v>134</v>
      </c>
      <c r="C46" s="88">
        <v>5500</v>
      </c>
      <c r="D46" s="37"/>
      <c r="E46" s="37">
        <v>5</v>
      </c>
      <c r="F46" s="37">
        <v>197.1</v>
      </c>
      <c r="G46" s="37">
        <v>950</v>
      </c>
      <c r="H46" s="37">
        <v>576.45000000000005</v>
      </c>
      <c r="I46" s="37">
        <v>1333</v>
      </c>
      <c r="J46" s="37">
        <v>5</v>
      </c>
      <c r="K46" s="37">
        <v>5</v>
      </c>
      <c r="L46" s="37">
        <v>659.2</v>
      </c>
      <c r="M46" s="37">
        <v>5</v>
      </c>
      <c r="N46" s="37">
        <v>16</v>
      </c>
      <c r="O46" s="149">
        <v>500</v>
      </c>
      <c r="P46" s="38">
        <f t="shared" si="4"/>
        <v>3751.75</v>
      </c>
      <c r="Q46" s="38">
        <f t="shared" si="5"/>
        <v>4251.75</v>
      </c>
      <c r="R46" s="68">
        <f t="shared" si="6"/>
        <v>1248.25</v>
      </c>
      <c r="S46" s="79">
        <f t="shared" si="7"/>
        <v>1248.25</v>
      </c>
    </row>
    <row r="47" spans="1:20" s="7" customFormat="1" ht="15" customHeight="1" x14ac:dyDescent="0.2">
      <c r="A47" s="12" t="s">
        <v>45</v>
      </c>
      <c r="B47" s="55" t="s">
        <v>45</v>
      </c>
      <c r="C47" s="88">
        <v>4000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149">
        <v>0</v>
      </c>
      <c r="P47" s="38">
        <f t="shared" si="4"/>
        <v>0</v>
      </c>
      <c r="Q47" s="38">
        <f t="shared" si="5"/>
        <v>0</v>
      </c>
      <c r="R47" s="68">
        <f t="shared" si="6"/>
        <v>4000</v>
      </c>
      <c r="S47" s="79">
        <f t="shared" si="7"/>
        <v>4000</v>
      </c>
    </row>
    <row r="48" spans="1:20" s="7" customFormat="1" ht="15" customHeight="1" x14ac:dyDescent="0.2">
      <c r="A48" s="12" t="s">
        <v>46</v>
      </c>
      <c r="B48" s="55" t="s">
        <v>131</v>
      </c>
      <c r="C48" s="88">
        <v>1000</v>
      </c>
      <c r="D48" s="37"/>
      <c r="E48" s="37">
        <v>0</v>
      </c>
      <c r="F48" s="37">
        <v>1</v>
      </c>
      <c r="G48" s="37">
        <v>-1</v>
      </c>
      <c r="H48" s="37">
        <v>0</v>
      </c>
      <c r="I48" s="37">
        <v>52.04</v>
      </c>
      <c r="J48" s="37"/>
      <c r="K48" s="37"/>
      <c r="L48" s="37"/>
      <c r="M48" s="37"/>
      <c r="N48" s="37"/>
      <c r="O48" s="149">
        <v>0</v>
      </c>
      <c r="P48" s="38">
        <f t="shared" si="4"/>
        <v>52.04</v>
      </c>
      <c r="Q48" s="38">
        <f t="shared" si="5"/>
        <v>52.04</v>
      </c>
      <c r="R48" s="68">
        <f t="shared" si="6"/>
        <v>947.96</v>
      </c>
      <c r="S48" s="79">
        <f t="shared" si="7"/>
        <v>947.96</v>
      </c>
    </row>
    <row r="49" spans="1:19" s="7" customFormat="1" ht="15" customHeight="1" x14ac:dyDescent="0.2">
      <c r="A49" s="12" t="s">
        <v>47</v>
      </c>
      <c r="B49" s="55" t="s">
        <v>135</v>
      </c>
      <c r="C49" s="88">
        <v>5300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49">
        <v>0</v>
      </c>
      <c r="P49" s="38">
        <f t="shared" si="4"/>
        <v>0</v>
      </c>
      <c r="Q49" s="38">
        <f t="shared" si="5"/>
        <v>0</v>
      </c>
      <c r="R49" s="68">
        <f t="shared" si="6"/>
        <v>5300</v>
      </c>
      <c r="S49" s="79">
        <f t="shared" si="7"/>
        <v>5300</v>
      </c>
    </row>
    <row r="50" spans="1:19" s="7" customFormat="1" ht="15" customHeight="1" x14ac:dyDescent="0.2">
      <c r="A50" s="12" t="s">
        <v>202</v>
      </c>
      <c r="B50" s="55" t="s">
        <v>203</v>
      </c>
      <c r="C50" s="88">
        <v>3000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149">
        <v>0</v>
      </c>
      <c r="P50" s="38">
        <f t="shared" si="4"/>
        <v>0</v>
      </c>
      <c r="Q50" s="38">
        <f t="shared" si="5"/>
        <v>0</v>
      </c>
      <c r="R50" s="68">
        <f t="shared" si="6"/>
        <v>3000</v>
      </c>
      <c r="S50" s="79">
        <f t="shared" si="7"/>
        <v>3000</v>
      </c>
    </row>
    <row r="51" spans="1:19" s="7" customFormat="1" ht="15" customHeight="1" x14ac:dyDescent="0.2">
      <c r="A51" s="12" t="s">
        <v>48</v>
      </c>
      <c r="B51" s="55" t="s">
        <v>136</v>
      </c>
      <c r="C51" s="88">
        <v>5000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149">
        <v>5000</v>
      </c>
      <c r="P51" s="38">
        <f t="shared" si="4"/>
        <v>0</v>
      </c>
      <c r="Q51" s="38">
        <f t="shared" si="5"/>
        <v>5000</v>
      </c>
      <c r="R51" s="68">
        <f t="shared" si="6"/>
        <v>0</v>
      </c>
      <c r="S51" s="79">
        <f t="shared" si="7"/>
        <v>0</v>
      </c>
    </row>
    <row r="52" spans="1:19" s="7" customFormat="1" ht="15" customHeight="1" x14ac:dyDescent="0.2">
      <c r="A52" s="12" t="s">
        <v>49</v>
      </c>
      <c r="B52" s="55" t="s">
        <v>137</v>
      </c>
      <c r="C52" s="88">
        <v>9900</v>
      </c>
      <c r="D52" s="37">
        <v>390</v>
      </c>
      <c r="E52" s="37">
        <v>390</v>
      </c>
      <c r="F52" s="37">
        <v>1190</v>
      </c>
      <c r="G52" s="37">
        <v>390</v>
      </c>
      <c r="H52" s="37">
        <v>390</v>
      </c>
      <c r="I52" s="37"/>
      <c r="J52" s="37">
        <v>390</v>
      </c>
      <c r="K52" s="37">
        <v>4384</v>
      </c>
      <c r="L52" s="37"/>
      <c r="M52" s="37">
        <v>750.4</v>
      </c>
      <c r="N52" s="37">
        <v>750.4</v>
      </c>
      <c r="O52" s="149">
        <v>1200</v>
      </c>
      <c r="P52" s="38">
        <f t="shared" si="4"/>
        <v>9024.7999999999993</v>
      </c>
      <c r="Q52" s="38">
        <f t="shared" si="5"/>
        <v>10224.799999999999</v>
      </c>
      <c r="R52" s="68">
        <f t="shared" si="6"/>
        <v>-324.79999999999927</v>
      </c>
      <c r="S52" s="79">
        <f t="shared" si="7"/>
        <v>-324.79999999999927</v>
      </c>
    </row>
    <row r="53" spans="1:19" s="7" customFormat="1" ht="15" customHeight="1" x14ac:dyDescent="0.2">
      <c r="A53" s="12" t="s">
        <v>50</v>
      </c>
      <c r="B53" s="55" t="s">
        <v>50</v>
      </c>
      <c r="C53" s="88">
        <v>3000</v>
      </c>
      <c r="D53" s="37"/>
      <c r="E53" s="37"/>
      <c r="F53" s="37"/>
      <c r="G53" s="37">
        <v>657.2</v>
      </c>
      <c r="H53" s="37">
        <v>0</v>
      </c>
      <c r="I53" s="37"/>
      <c r="J53" s="37">
        <v>641.29999999999995</v>
      </c>
      <c r="K53" s="37"/>
      <c r="L53" s="37">
        <v>641.29999999999995</v>
      </c>
      <c r="M53" s="37"/>
      <c r="N53" s="37"/>
      <c r="O53" s="149">
        <v>641.29999999999995</v>
      </c>
      <c r="P53" s="38">
        <f t="shared" si="4"/>
        <v>1939.8</v>
      </c>
      <c r="Q53" s="38">
        <f t="shared" si="5"/>
        <v>2581.1</v>
      </c>
      <c r="R53" s="68">
        <f t="shared" si="6"/>
        <v>418.90000000000009</v>
      </c>
      <c r="S53" s="79">
        <f t="shared" si="7"/>
        <v>418.90000000000009</v>
      </c>
    </row>
    <row r="54" spans="1:19" s="7" customFormat="1" ht="15" customHeight="1" x14ac:dyDescent="0.2">
      <c r="A54" s="12" t="s">
        <v>197</v>
      </c>
      <c r="B54" s="55" t="s">
        <v>198</v>
      </c>
      <c r="C54" s="88">
        <v>12250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149">
        <v>12250</v>
      </c>
      <c r="P54" s="38">
        <f t="shared" si="4"/>
        <v>0</v>
      </c>
      <c r="Q54" s="38">
        <f t="shared" si="5"/>
        <v>12250</v>
      </c>
      <c r="R54" s="68">
        <f t="shared" si="6"/>
        <v>0</v>
      </c>
      <c r="S54" s="79">
        <f t="shared" si="7"/>
        <v>0</v>
      </c>
    </row>
    <row r="55" spans="1:19" s="7" customFormat="1" ht="15" customHeight="1" x14ac:dyDescent="0.2">
      <c r="A55" s="12" t="s">
        <v>51</v>
      </c>
      <c r="B55" s="55" t="s">
        <v>138</v>
      </c>
      <c r="C55" s="88">
        <v>3000</v>
      </c>
      <c r="D55" s="37"/>
      <c r="E55" s="37"/>
      <c r="F55" s="37"/>
      <c r="G55" s="37"/>
      <c r="H55" s="37"/>
      <c r="I55" s="37">
        <v>2989.2</v>
      </c>
      <c r="J55" s="37"/>
      <c r="K55" s="37"/>
      <c r="L55" s="37"/>
      <c r="M55" s="37">
        <v>583</v>
      </c>
      <c r="N55" s="37"/>
      <c r="O55" s="149">
        <v>583</v>
      </c>
      <c r="P55" s="38">
        <f t="shared" si="4"/>
        <v>3572.2</v>
      </c>
      <c r="Q55" s="38">
        <f t="shared" si="5"/>
        <v>4155.2</v>
      </c>
      <c r="R55" s="68">
        <f t="shared" si="6"/>
        <v>-1155.1999999999998</v>
      </c>
      <c r="S55" s="79">
        <f t="shared" si="7"/>
        <v>-1155.1999999999998</v>
      </c>
    </row>
    <row r="56" spans="1:19" s="7" customFormat="1" ht="15" customHeight="1" x14ac:dyDescent="0.2">
      <c r="A56" s="12" t="s">
        <v>52</v>
      </c>
      <c r="B56" s="55" t="s">
        <v>139</v>
      </c>
      <c r="C56" s="88">
        <v>1000</v>
      </c>
      <c r="D56" s="37">
        <v>51.37</v>
      </c>
      <c r="E56" s="37">
        <v>117.42</v>
      </c>
      <c r="F56" s="37">
        <v>103.99</v>
      </c>
      <c r="G56" s="37">
        <v>154.41</v>
      </c>
      <c r="H56" s="37">
        <v>47.97</v>
      </c>
      <c r="I56" s="37">
        <v>100.01</v>
      </c>
      <c r="J56" s="37">
        <v>59.45</v>
      </c>
      <c r="K56" s="37">
        <v>91.11</v>
      </c>
      <c r="L56" s="37">
        <v>28.83</v>
      </c>
      <c r="M56" s="37">
        <v>105.38</v>
      </c>
      <c r="N56" s="37">
        <v>125.57</v>
      </c>
      <c r="O56" s="149">
        <v>100</v>
      </c>
      <c r="P56" s="38">
        <f t="shared" si="4"/>
        <v>985.51</v>
      </c>
      <c r="Q56" s="38">
        <f t="shared" si="5"/>
        <v>1085.51</v>
      </c>
      <c r="R56" s="68">
        <f t="shared" si="6"/>
        <v>-85.509999999999991</v>
      </c>
      <c r="S56" s="79">
        <f t="shared" si="7"/>
        <v>-85.509999999999991</v>
      </c>
    </row>
    <row r="57" spans="1:19" s="7" customFormat="1" ht="15" customHeight="1" x14ac:dyDescent="0.2">
      <c r="A57" s="12" t="s">
        <v>53</v>
      </c>
      <c r="B57" s="55" t="s">
        <v>140</v>
      </c>
      <c r="C57" s="88">
        <v>180</v>
      </c>
      <c r="D57" s="37"/>
      <c r="E57" s="37"/>
      <c r="F57" s="37"/>
      <c r="G57" s="37"/>
      <c r="H57" s="37"/>
      <c r="I57" s="37"/>
      <c r="J57" s="37">
        <v>50</v>
      </c>
      <c r="K57" s="37"/>
      <c r="L57" s="37">
        <v>150</v>
      </c>
      <c r="M57" s="37">
        <v>-50</v>
      </c>
      <c r="N57" s="37"/>
      <c r="O57" s="149">
        <v>0</v>
      </c>
      <c r="P57" s="38">
        <f t="shared" si="4"/>
        <v>150</v>
      </c>
      <c r="Q57" s="38">
        <f t="shared" si="5"/>
        <v>150</v>
      </c>
      <c r="R57" s="68">
        <f t="shared" si="6"/>
        <v>30</v>
      </c>
      <c r="S57" s="79">
        <f t="shared" si="7"/>
        <v>30</v>
      </c>
    </row>
    <row r="58" spans="1:19" s="7" customFormat="1" ht="15" customHeight="1" x14ac:dyDescent="0.2">
      <c r="A58" s="12" t="s">
        <v>54</v>
      </c>
      <c r="B58" s="55" t="s">
        <v>141</v>
      </c>
      <c r="C58" s="88">
        <v>1000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149">
        <v>0</v>
      </c>
      <c r="P58" s="38">
        <f t="shared" si="4"/>
        <v>0</v>
      </c>
      <c r="Q58" s="38">
        <f t="shared" si="5"/>
        <v>0</v>
      </c>
      <c r="R58" s="68">
        <f t="shared" si="6"/>
        <v>1000</v>
      </c>
      <c r="S58" s="79">
        <f t="shared" si="7"/>
        <v>1000</v>
      </c>
    </row>
    <row r="59" spans="1:19" s="7" customFormat="1" ht="15" customHeight="1" x14ac:dyDescent="0.2">
      <c r="A59" s="12" t="s">
        <v>55</v>
      </c>
      <c r="B59" s="55" t="s">
        <v>142</v>
      </c>
      <c r="C59" s="88">
        <v>330</v>
      </c>
      <c r="D59" s="37">
        <v>330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149">
        <v>0</v>
      </c>
      <c r="P59" s="38">
        <f t="shared" si="4"/>
        <v>330</v>
      </c>
      <c r="Q59" s="38">
        <f t="shared" si="5"/>
        <v>330</v>
      </c>
      <c r="R59" s="68">
        <f t="shared" si="6"/>
        <v>0</v>
      </c>
      <c r="S59" s="79">
        <f t="shared" si="7"/>
        <v>0</v>
      </c>
    </row>
    <row r="60" spans="1:19" s="7" customFormat="1" ht="15" customHeight="1" x14ac:dyDescent="0.2">
      <c r="A60" s="12" t="s">
        <v>56</v>
      </c>
      <c r="B60" s="55" t="s">
        <v>143</v>
      </c>
      <c r="C60" s="88">
        <v>1500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149">
        <v>0</v>
      </c>
      <c r="P60" s="38">
        <f t="shared" si="4"/>
        <v>0</v>
      </c>
      <c r="Q60" s="38">
        <f t="shared" si="5"/>
        <v>0</v>
      </c>
      <c r="R60" s="68">
        <f t="shared" si="6"/>
        <v>1500</v>
      </c>
      <c r="S60" s="79">
        <f t="shared" si="7"/>
        <v>1500</v>
      </c>
    </row>
    <row r="61" spans="1:19" s="7" customFormat="1" ht="15" customHeight="1" x14ac:dyDescent="0.2">
      <c r="A61" s="12" t="s">
        <v>57</v>
      </c>
      <c r="B61" s="55" t="s">
        <v>186</v>
      </c>
      <c r="C61" s="88">
        <v>1000</v>
      </c>
      <c r="D61" s="37"/>
      <c r="E61" s="37">
        <v>302.52999999999997</v>
      </c>
      <c r="F61" s="37">
        <v>0</v>
      </c>
      <c r="G61" s="37"/>
      <c r="H61" s="37"/>
      <c r="I61" s="37"/>
      <c r="J61" s="37"/>
      <c r="K61" s="37"/>
      <c r="L61" s="37"/>
      <c r="M61" s="37"/>
      <c r="N61" s="37"/>
      <c r="O61" s="149">
        <v>0</v>
      </c>
      <c r="P61" s="38">
        <f t="shared" si="4"/>
        <v>302.52999999999997</v>
      </c>
      <c r="Q61" s="38">
        <f t="shared" si="5"/>
        <v>302.52999999999997</v>
      </c>
      <c r="R61" s="68">
        <f t="shared" si="6"/>
        <v>697.47</v>
      </c>
      <c r="S61" s="79">
        <f t="shared" si="7"/>
        <v>697.47</v>
      </c>
    </row>
    <row r="62" spans="1:19" s="7" customFormat="1" ht="15" customHeight="1" x14ac:dyDescent="0.2">
      <c r="A62" s="12" t="s">
        <v>58</v>
      </c>
      <c r="B62" s="55" t="s">
        <v>131</v>
      </c>
      <c r="C62" s="88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149">
        <v>0</v>
      </c>
      <c r="P62" s="38">
        <f t="shared" si="4"/>
        <v>0</v>
      </c>
      <c r="Q62" s="38">
        <f t="shared" si="5"/>
        <v>0</v>
      </c>
      <c r="R62" s="68">
        <f t="shared" si="6"/>
        <v>0</v>
      </c>
      <c r="S62" s="79">
        <f t="shared" si="7"/>
        <v>0</v>
      </c>
    </row>
    <row r="63" spans="1:19" s="7" customFormat="1" ht="15" customHeight="1" x14ac:dyDescent="0.2">
      <c r="A63" s="12" t="s">
        <v>271</v>
      </c>
      <c r="B63" s="55" t="s">
        <v>274</v>
      </c>
      <c r="C63" s="88">
        <v>0</v>
      </c>
      <c r="D63" s="37"/>
      <c r="E63" s="37"/>
      <c r="F63" s="37"/>
      <c r="G63" s="37"/>
      <c r="H63" s="37"/>
      <c r="I63" s="37"/>
      <c r="J63" s="37"/>
      <c r="K63" s="37"/>
      <c r="L63" s="37">
        <v>1</v>
      </c>
      <c r="M63" s="37"/>
      <c r="N63" s="37"/>
      <c r="O63" s="149">
        <v>0</v>
      </c>
      <c r="P63" s="38">
        <f t="shared" si="4"/>
        <v>1</v>
      </c>
      <c r="Q63" s="38">
        <f t="shared" si="5"/>
        <v>1</v>
      </c>
      <c r="R63" s="68">
        <f t="shared" si="6"/>
        <v>-1</v>
      </c>
      <c r="S63" s="79">
        <f t="shared" si="7"/>
        <v>-1</v>
      </c>
    </row>
    <row r="64" spans="1:19" s="7" customFormat="1" ht="15" customHeight="1" x14ac:dyDescent="0.2">
      <c r="A64" s="12" t="s">
        <v>59</v>
      </c>
      <c r="B64" s="55" t="s">
        <v>266</v>
      </c>
      <c r="C64" s="88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149">
        <v>35125.347999999998</v>
      </c>
      <c r="P64" s="38">
        <f t="shared" si="4"/>
        <v>0</v>
      </c>
      <c r="Q64" s="38">
        <f t="shared" si="5"/>
        <v>35125.347999999998</v>
      </c>
      <c r="R64" s="68">
        <f t="shared" si="6"/>
        <v>-35125.347999999998</v>
      </c>
      <c r="S64" s="79">
        <f t="shared" si="7"/>
        <v>-35125.347999999998</v>
      </c>
    </row>
    <row r="65" spans="1:19" s="8" customFormat="1" ht="6.95" customHeight="1" x14ac:dyDescent="0.2">
      <c r="A65" s="12"/>
      <c r="B65" s="55"/>
      <c r="C65" s="88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145"/>
      <c r="P65" s="38"/>
      <c r="Q65" s="38"/>
      <c r="R65" s="68">
        <f t="shared" si="6"/>
        <v>0</v>
      </c>
      <c r="S65" s="79">
        <f t="shared" si="7"/>
        <v>0</v>
      </c>
    </row>
    <row r="66" spans="1:19" s="7" customFormat="1" ht="15" customHeight="1" x14ac:dyDescent="0.2">
      <c r="A66" s="15" t="str">
        <f>"TOTAL "&amp;A20</f>
        <v>TOTAL OPERATING EXPENSES (OPEX) - PGT</v>
      </c>
      <c r="B66" s="59"/>
      <c r="C66" s="97">
        <f>SUM(C22:C65)</f>
        <v>1805934.16</v>
      </c>
      <c r="D66" s="40">
        <f t="shared" ref="D66:O66" si="8">SUM(D22:D64)</f>
        <v>106259.38999999998</v>
      </c>
      <c r="E66" s="40">
        <f t="shared" si="8"/>
        <v>150275.01999999999</v>
      </c>
      <c r="F66" s="40">
        <f t="shared" si="8"/>
        <v>118618.90000000001</v>
      </c>
      <c r="G66" s="40">
        <f t="shared" si="8"/>
        <v>112171.48</v>
      </c>
      <c r="H66" s="40">
        <f t="shared" si="8"/>
        <v>118490.79999999999</v>
      </c>
      <c r="I66" s="40">
        <f t="shared" si="8"/>
        <v>171177.33</v>
      </c>
      <c r="J66" s="40">
        <f t="shared" si="8"/>
        <v>116466.81999999999</v>
      </c>
      <c r="K66" s="40">
        <f t="shared" si="8"/>
        <v>120377.60999999999</v>
      </c>
      <c r="L66" s="40">
        <f t="shared" si="8"/>
        <v>124380.65</v>
      </c>
      <c r="M66" s="40">
        <f t="shared" si="8"/>
        <v>111936.28000000001</v>
      </c>
      <c r="N66" s="40">
        <f t="shared" si="8"/>
        <v>122191.05999999997</v>
      </c>
      <c r="O66" s="152">
        <f t="shared" si="8"/>
        <v>231630.94799999997</v>
      </c>
      <c r="P66" s="40">
        <f>SUM(D66:N66)</f>
        <v>1372345.3399999999</v>
      </c>
      <c r="Q66" s="40">
        <f>SUM(D66:O66)</f>
        <v>1603976.2879999997</v>
      </c>
      <c r="S66" s="79">
        <f t="shared" si="7"/>
        <v>0</v>
      </c>
    </row>
    <row r="67" spans="1:19" s="7" customFormat="1" ht="15" customHeight="1" x14ac:dyDescent="0.2">
      <c r="A67" s="24"/>
      <c r="B67" s="60"/>
      <c r="C67" s="9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47"/>
      <c r="P67" s="33"/>
      <c r="Q67" s="33"/>
    </row>
    <row r="68" spans="1:19" s="7" customFormat="1" ht="18" customHeight="1" x14ac:dyDescent="0.2">
      <c r="A68" s="171" t="s">
        <v>30</v>
      </c>
      <c r="B68" s="171"/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</row>
    <row r="69" spans="1:19" s="7" customFormat="1" ht="15" customHeight="1" x14ac:dyDescent="0.2">
      <c r="A69" s="24"/>
      <c r="B69" s="60"/>
      <c r="C69" s="98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147"/>
      <c r="P69" s="33"/>
      <c r="Q69" s="33"/>
    </row>
    <row r="70" spans="1:19" s="7" customFormat="1" ht="15" customHeight="1" x14ac:dyDescent="0.2">
      <c r="A70" s="12" t="s">
        <v>20</v>
      </c>
      <c r="B70" s="55" t="s">
        <v>118</v>
      </c>
      <c r="C70" s="88">
        <v>177804</v>
      </c>
      <c r="D70" s="37">
        <v>12284.5</v>
      </c>
      <c r="E70" s="37">
        <v>12373.57</v>
      </c>
      <c r="F70" s="37">
        <v>11642.55</v>
      </c>
      <c r="G70" s="37">
        <v>11520</v>
      </c>
      <c r="H70" s="37">
        <v>12251.61</v>
      </c>
      <c r="I70" s="37">
        <v>13816</v>
      </c>
      <c r="J70" s="37">
        <v>13814</v>
      </c>
      <c r="K70" s="37">
        <v>13814</v>
      </c>
      <c r="L70" s="37">
        <v>13814</v>
      </c>
      <c r="M70" s="37">
        <v>13623.68</v>
      </c>
      <c r="N70" s="37">
        <v>13920</v>
      </c>
      <c r="O70" s="149">
        <v>13920</v>
      </c>
      <c r="P70" s="38">
        <f t="shared" ref="P70:P81" si="9">SUM(D70:N70)</f>
        <v>142873.91</v>
      </c>
      <c r="Q70" s="38">
        <f t="shared" ref="Q70:Q81" si="10">SUM(D70:O70)</f>
        <v>156793.91</v>
      </c>
      <c r="R70" s="68">
        <f t="shared" ref="R70:R81" si="11">C70-Q70</f>
        <v>21010.089999999997</v>
      </c>
      <c r="S70" s="79">
        <f>R70/1</f>
        <v>21010.089999999997</v>
      </c>
    </row>
    <row r="71" spans="1:19" s="7" customFormat="1" ht="15" customHeight="1" x14ac:dyDescent="0.2">
      <c r="A71" s="12" t="s">
        <v>21</v>
      </c>
      <c r="B71" s="55" t="s">
        <v>21</v>
      </c>
      <c r="C71" s="88">
        <v>0</v>
      </c>
      <c r="D71" s="37">
        <v>0</v>
      </c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149">
        <v>0</v>
      </c>
      <c r="P71" s="38">
        <f t="shared" si="9"/>
        <v>0</v>
      </c>
      <c r="Q71" s="38">
        <f t="shared" si="10"/>
        <v>0</v>
      </c>
      <c r="R71" s="68">
        <f t="shared" si="11"/>
        <v>0</v>
      </c>
      <c r="S71" s="79">
        <f t="shared" ref="S71:S81" si="12">R71/1</f>
        <v>0</v>
      </c>
    </row>
    <row r="72" spans="1:19" s="7" customFormat="1" ht="15" customHeight="1" x14ac:dyDescent="0.2">
      <c r="A72" s="12" t="s">
        <v>60</v>
      </c>
      <c r="B72" s="55" t="s">
        <v>119</v>
      </c>
      <c r="C72" s="88">
        <v>29634</v>
      </c>
      <c r="D72" s="37">
        <v>0</v>
      </c>
      <c r="E72" s="37"/>
      <c r="F72" s="37"/>
      <c r="G72" s="37"/>
      <c r="H72" s="37"/>
      <c r="I72" s="37">
        <v>5959.43</v>
      </c>
      <c r="J72" s="37"/>
      <c r="K72" s="37"/>
      <c r="L72" s="37"/>
      <c r="M72" s="37"/>
      <c r="N72" s="37"/>
      <c r="O72" s="149">
        <v>4000</v>
      </c>
      <c r="P72" s="38">
        <f t="shared" si="9"/>
        <v>5959.43</v>
      </c>
      <c r="Q72" s="38">
        <f t="shared" si="10"/>
        <v>9959.43</v>
      </c>
      <c r="R72" s="68">
        <f t="shared" si="11"/>
        <v>19674.57</v>
      </c>
      <c r="S72" s="79">
        <f t="shared" si="12"/>
        <v>19674.57</v>
      </c>
    </row>
    <row r="73" spans="1:19" s="7" customFormat="1" ht="15" customHeight="1" x14ac:dyDescent="0.2">
      <c r="A73" s="12" t="s">
        <v>23</v>
      </c>
      <c r="B73" s="55" t="s">
        <v>23</v>
      </c>
      <c r="C73" s="88">
        <v>26966.940000000002</v>
      </c>
      <c r="D73" s="37">
        <v>1137</v>
      </c>
      <c r="E73" s="37">
        <v>1113</v>
      </c>
      <c r="F73" s="37">
        <v>1066</v>
      </c>
      <c r="G73" s="37">
        <v>1005</v>
      </c>
      <c r="H73" s="37">
        <v>1104</v>
      </c>
      <c r="I73" s="37">
        <v>1304</v>
      </c>
      <c r="J73" s="37">
        <v>1304</v>
      </c>
      <c r="K73" s="37">
        <v>1304</v>
      </c>
      <c r="L73" s="37">
        <v>1304</v>
      </c>
      <c r="M73" s="37">
        <v>1299</v>
      </c>
      <c r="N73" s="37">
        <v>1276</v>
      </c>
      <c r="O73" s="149">
        <v>2300</v>
      </c>
      <c r="P73" s="38">
        <f t="shared" si="9"/>
        <v>13216</v>
      </c>
      <c r="Q73" s="38">
        <f t="shared" si="10"/>
        <v>15516</v>
      </c>
      <c r="R73" s="68">
        <f t="shared" si="11"/>
        <v>11450.940000000002</v>
      </c>
      <c r="S73" s="79">
        <f t="shared" si="12"/>
        <v>11450.940000000002</v>
      </c>
    </row>
    <row r="74" spans="1:19" s="7" customFormat="1" ht="15" customHeight="1" x14ac:dyDescent="0.2">
      <c r="A74" s="12" t="s">
        <v>24</v>
      </c>
      <c r="B74" s="55" t="s">
        <v>24</v>
      </c>
      <c r="C74" s="88">
        <v>3000</v>
      </c>
      <c r="D74" s="37">
        <v>172.75</v>
      </c>
      <c r="E74" s="37">
        <v>156.65</v>
      </c>
      <c r="F74" s="37">
        <v>148.35</v>
      </c>
      <c r="G74" s="37">
        <v>141.85</v>
      </c>
      <c r="H74" s="37">
        <v>155.85</v>
      </c>
      <c r="I74" s="37">
        <v>181.2</v>
      </c>
      <c r="J74" s="37">
        <v>181.2</v>
      </c>
      <c r="K74" s="37">
        <v>181.2</v>
      </c>
      <c r="L74" s="37">
        <v>181.2</v>
      </c>
      <c r="M74" s="37">
        <v>180.5</v>
      </c>
      <c r="N74" s="37">
        <v>179.5</v>
      </c>
      <c r="O74" s="149">
        <v>200</v>
      </c>
      <c r="P74" s="38">
        <f t="shared" si="9"/>
        <v>1860.2500000000002</v>
      </c>
      <c r="Q74" s="38">
        <f t="shared" si="10"/>
        <v>2060.25</v>
      </c>
      <c r="R74" s="68">
        <f t="shared" si="11"/>
        <v>939.75</v>
      </c>
      <c r="S74" s="79">
        <f t="shared" si="12"/>
        <v>939.75</v>
      </c>
    </row>
    <row r="75" spans="1:19" s="7" customFormat="1" ht="15" customHeight="1" x14ac:dyDescent="0.2">
      <c r="A75" s="12" t="s">
        <v>61</v>
      </c>
      <c r="B75" s="55" t="s">
        <v>61</v>
      </c>
      <c r="C75" s="88">
        <v>1640</v>
      </c>
      <c r="D75" s="37">
        <v>0</v>
      </c>
      <c r="E75" s="37">
        <v>80</v>
      </c>
      <c r="F75" s="37">
        <v>70</v>
      </c>
      <c r="G75" s="37">
        <v>0</v>
      </c>
      <c r="H75" s="37">
        <v>35</v>
      </c>
      <c r="I75" s="37">
        <v>85</v>
      </c>
      <c r="J75" s="37">
        <v>30</v>
      </c>
      <c r="K75" s="37">
        <v>50</v>
      </c>
      <c r="L75" s="37">
        <v>0</v>
      </c>
      <c r="M75" s="37"/>
      <c r="N75" s="37"/>
      <c r="O75" s="149">
        <v>200</v>
      </c>
      <c r="P75" s="38">
        <f t="shared" si="9"/>
        <v>350</v>
      </c>
      <c r="Q75" s="38">
        <f t="shared" si="10"/>
        <v>550</v>
      </c>
      <c r="R75" s="68">
        <f t="shared" si="11"/>
        <v>1090</v>
      </c>
      <c r="S75" s="79">
        <f t="shared" si="12"/>
        <v>1090</v>
      </c>
    </row>
    <row r="76" spans="1:19" s="7" customFormat="1" ht="15" customHeight="1" x14ac:dyDescent="0.2">
      <c r="A76" s="12" t="s">
        <v>26</v>
      </c>
      <c r="B76" s="55" t="s">
        <v>120</v>
      </c>
      <c r="C76" s="88">
        <v>0</v>
      </c>
      <c r="D76" s="37">
        <v>0</v>
      </c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149">
        <v>0</v>
      </c>
      <c r="P76" s="38">
        <f t="shared" si="9"/>
        <v>0</v>
      </c>
      <c r="Q76" s="38">
        <f t="shared" si="10"/>
        <v>0</v>
      </c>
      <c r="R76" s="68">
        <f t="shared" si="11"/>
        <v>0</v>
      </c>
      <c r="S76" s="79">
        <f t="shared" si="12"/>
        <v>0</v>
      </c>
    </row>
    <row r="77" spans="1:19" s="7" customFormat="1" ht="15" customHeight="1" x14ac:dyDescent="0.2">
      <c r="A77" s="12" t="s">
        <v>62</v>
      </c>
      <c r="B77" s="55" t="s">
        <v>121</v>
      </c>
      <c r="C77" s="88">
        <v>5000</v>
      </c>
      <c r="D77" s="37">
        <v>0</v>
      </c>
      <c r="E77" s="37">
        <v>700</v>
      </c>
      <c r="F77" s="37">
        <v>350</v>
      </c>
      <c r="G77" s="37"/>
      <c r="H77" s="37"/>
      <c r="I77" s="37"/>
      <c r="J77" s="37">
        <v>327.39999999999998</v>
      </c>
      <c r="K77" s="37">
        <v>304.85000000000002</v>
      </c>
      <c r="L77" s="37"/>
      <c r="M77" s="37"/>
      <c r="N77" s="37"/>
      <c r="O77" s="149">
        <v>0</v>
      </c>
      <c r="P77" s="38">
        <f t="shared" si="9"/>
        <v>1682.25</v>
      </c>
      <c r="Q77" s="38">
        <f t="shared" si="10"/>
        <v>1682.25</v>
      </c>
      <c r="R77" s="68">
        <f t="shared" si="11"/>
        <v>3317.75</v>
      </c>
      <c r="S77" s="79">
        <f t="shared" si="12"/>
        <v>3317.75</v>
      </c>
    </row>
    <row r="78" spans="1:19" s="7" customFormat="1" ht="15" customHeight="1" x14ac:dyDescent="0.2">
      <c r="A78" s="12" t="s">
        <v>63</v>
      </c>
      <c r="B78" s="55" t="s">
        <v>122</v>
      </c>
      <c r="C78" s="88">
        <v>3000</v>
      </c>
      <c r="D78" s="37">
        <v>0</v>
      </c>
      <c r="E78" s="37">
        <v>0</v>
      </c>
      <c r="F78" s="37">
        <v>179.4</v>
      </c>
      <c r="G78" s="37">
        <v>75</v>
      </c>
      <c r="H78" s="37">
        <v>193.6</v>
      </c>
      <c r="I78" s="37">
        <v>50.8</v>
      </c>
      <c r="J78" s="37">
        <v>32</v>
      </c>
      <c r="K78" s="37">
        <v>97.68</v>
      </c>
      <c r="L78" s="37">
        <v>74.2</v>
      </c>
      <c r="M78" s="37">
        <v>68.95</v>
      </c>
      <c r="N78" s="37">
        <v>91.7</v>
      </c>
      <c r="O78" s="149">
        <v>100</v>
      </c>
      <c r="P78" s="38">
        <f t="shared" si="9"/>
        <v>863.33000000000015</v>
      </c>
      <c r="Q78" s="38">
        <f t="shared" si="10"/>
        <v>963.33000000000015</v>
      </c>
      <c r="R78" s="68">
        <f t="shared" si="11"/>
        <v>2036.6699999999998</v>
      </c>
      <c r="S78" s="79">
        <f t="shared" si="12"/>
        <v>2036.6699999999998</v>
      </c>
    </row>
    <row r="79" spans="1:19" s="7" customFormat="1" ht="15" customHeight="1" x14ac:dyDescent="0.2">
      <c r="A79" s="12" t="s">
        <v>31</v>
      </c>
      <c r="B79" s="55" t="s">
        <v>123</v>
      </c>
      <c r="C79" s="88">
        <v>12000</v>
      </c>
      <c r="D79" s="37"/>
      <c r="E79" s="37">
        <v>1755.35</v>
      </c>
      <c r="F79" s="37">
        <v>938.25</v>
      </c>
      <c r="G79" s="37">
        <v>0</v>
      </c>
      <c r="H79" s="37">
        <v>890.5</v>
      </c>
      <c r="I79" s="37">
        <v>0</v>
      </c>
      <c r="J79" s="37">
        <v>894.1</v>
      </c>
      <c r="K79" s="37">
        <v>1777.55</v>
      </c>
      <c r="L79" s="37">
        <v>890.8</v>
      </c>
      <c r="M79" s="37"/>
      <c r="N79" s="37"/>
      <c r="O79" s="149">
        <v>1800</v>
      </c>
      <c r="P79" s="38">
        <f t="shared" si="9"/>
        <v>7146.55</v>
      </c>
      <c r="Q79" s="38">
        <f t="shared" si="10"/>
        <v>8946.5499999999993</v>
      </c>
      <c r="R79" s="68">
        <f t="shared" si="11"/>
        <v>3053.4500000000007</v>
      </c>
      <c r="S79" s="79">
        <f t="shared" si="12"/>
        <v>3053.4500000000007</v>
      </c>
    </row>
    <row r="80" spans="1:19" s="7" customFormat="1" ht="15" customHeight="1" x14ac:dyDescent="0.2">
      <c r="A80" s="12" t="s">
        <v>32</v>
      </c>
      <c r="B80" s="55" t="s">
        <v>124</v>
      </c>
      <c r="C80" s="88">
        <v>11000</v>
      </c>
      <c r="D80" s="37"/>
      <c r="E80" s="37">
        <v>645.85</v>
      </c>
      <c r="F80" s="37">
        <v>705.95</v>
      </c>
      <c r="G80" s="37">
        <v>760.15</v>
      </c>
      <c r="H80" s="37">
        <v>636.29999999999995</v>
      </c>
      <c r="I80" s="37">
        <v>724</v>
      </c>
      <c r="J80" s="37">
        <v>1521.95</v>
      </c>
      <c r="K80" s="37">
        <v>799.5</v>
      </c>
      <c r="L80" s="37">
        <v>692.9</v>
      </c>
      <c r="M80" s="37">
        <v>618.79999999999995</v>
      </c>
      <c r="N80" s="37"/>
      <c r="O80" s="149">
        <v>1500</v>
      </c>
      <c r="P80" s="38">
        <f t="shared" si="9"/>
        <v>7105.4</v>
      </c>
      <c r="Q80" s="38">
        <f t="shared" si="10"/>
        <v>8605.4</v>
      </c>
      <c r="R80" s="68">
        <f t="shared" si="11"/>
        <v>2394.6000000000004</v>
      </c>
      <c r="S80" s="79">
        <f t="shared" si="12"/>
        <v>2394.6000000000004</v>
      </c>
    </row>
    <row r="81" spans="1:19" s="7" customFormat="1" ht="15" customHeight="1" x14ac:dyDescent="0.2">
      <c r="A81" s="12" t="s">
        <v>64</v>
      </c>
      <c r="B81" s="55" t="s">
        <v>125</v>
      </c>
      <c r="C81" s="88">
        <v>27800</v>
      </c>
      <c r="D81" s="37">
        <v>2145.44</v>
      </c>
      <c r="E81" s="37">
        <v>2145.44</v>
      </c>
      <c r="F81" s="37">
        <v>2145.44</v>
      </c>
      <c r="G81" s="37">
        <v>2145.44</v>
      </c>
      <c r="H81" s="37">
        <v>2145.44</v>
      </c>
      <c r="I81" s="37">
        <v>2145.44</v>
      </c>
      <c r="J81" s="37">
        <v>2765.44</v>
      </c>
      <c r="K81" s="37">
        <v>2145.44</v>
      </c>
      <c r="L81" s="37">
        <v>2145.44</v>
      </c>
      <c r="M81" s="37">
        <v>2145.44</v>
      </c>
      <c r="N81" s="37">
        <v>2145.44</v>
      </c>
      <c r="O81" s="149">
        <v>2145.44</v>
      </c>
      <c r="P81" s="38">
        <f t="shared" si="9"/>
        <v>24219.839999999997</v>
      </c>
      <c r="Q81" s="38">
        <f t="shared" si="10"/>
        <v>26365.279999999995</v>
      </c>
      <c r="R81" s="68">
        <f t="shared" si="11"/>
        <v>1434.7200000000048</v>
      </c>
      <c r="S81" s="79">
        <f t="shared" si="12"/>
        <v>1434.7200000000048</v>
      </c>
    </row>
    <row r="82" spans="1:19" s="7" customFormat="1" ht="10.5" customHeight="1" x14ac:dyDescent="0.2">
      <c r="A82" s="12"/>
      <c r="B82" s="55"/>
      <c r="C82" s="8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145"/>
      <c r="P82" s="38"/>
      <c r="Q82" s="38"/>
      <c r="S82" s="79"/>
    </row>
    <row r="83" spans="1:19" s="7" customFormat="1" ht="15" customHeight="1" x14ac:dyDescent="0.2">
      <c r="A83" s="15" t="str">
        <f>"TOTAL "&amp;A68</f>
        <v>TOTAL OPERATING EXPENSES (OPEX) - TIC</v>
      </c>
      <c r="B83" s="59"/>
      <c r="C83" s="97">
        <f>SUM(C70:C82)</f>
        <v>297844.94</v>
      </c>
      <c r="D83" s="40">
        <f>SUM(D70:D81)</f>
        <v>15739.69</v>
      </c>
      <c r="E83" s="40">
        <f t="shared" ref="E83:N83" si="13">SUM(E70:E81)</f>
        <v>18969.859999999997</v>
      </c>
      <c r="F83" s="40">
        <f t="shared" si="13"/>
        <v>17245.939999999999</v>
      </c>
      <c r="G83" s="40">
        <f t="shared" si="13"/>
        <v>15647.44</v>
      </c>
      <c r="H83" s="40">
        <f t="shared" si="13"/>
        <v>17412.3</v>
      </c>
      <c r="I83" s="40">
        <f t="shared" si="13"/>
        <v>24265.87</v>
      </c>
      <c r="J83" s="40">
        <f t="shared" si="13"/>
        <v>20870.09</v>
      </c>
      <c r="K83" s="40">
        <f t="shared" si="13"/>
        <v>20474.22</v>
      </c>
      <c r="L83" s="40">
        <f t="shared" si="13"/>
        <v>19102.54</v>
      </c>
      <c r="M83" s="40">
        <f t="shared" si="13"/>
        <v>17936.37</v>
      </c>
      <c r="N83" s="40">
        <f t="shared" si="13"/>
        <v>17612.64</v>
      </c>
      <c r="O83" s="152">
        <f>SUM(O70:O81)</f>
        <v>26165.439999999999</v>
      </c>
      <c r="P83" s="40">
        <f>SUM(D83:N83)</f>
        <v>205276.95999999996</v>
      </c>
      <c r="Q83" s="40">
        <f>SUM(Q70:Q81)</f>
        <v>231442.39999999997</v>
      </c>
    </row>
    <row r="84" spans="1:19" s="7" customFormat="1" ht="6.95" customHeight="1" x14ac:dyDescent="0.2">
      <c r="A84" s="11"/>
      <c r="B84" s="61"/>
      <c r="C84" s="99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153"/>
      <c r="P84" s="41"/>
      <c r="Q84" s="41"/>
    </row>
    <row r="85" spans="1:19" s="7" customFormat="1" ht="18" customHeight="1" x14ac:dyDescent="0.2">
      <c r="A85" s="171" t="s">
        <v>65</v>
      </c>
      <c r="B85" s="171"/>
      <c r="C85" s="171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</row>
    <row r="86" spans="1:19" s="7" customFormat="1" ht="6.95" customHeight="1" x14ac:dyDescent="0.2">
      <c r="A86" s="10"/>
      <c r="B86" s="58"/>
      <c r="C86" s="96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148"/>
      <c r="P86" s="36"/>
      <c r="Q86" s="36"/>
    </row>
    <row r="87" spans="1:19" s="8" customFormat="1" ht="15" customHeight="1" x14ac:dyDescent="0.2">
      <c r="A87" s="12" t="s">
        <v>67</v>
      </c>
      <c r="B87" s="55" t="s">
        <v>144</v>
      </c>
      <c r="C87" s="88">
        <v>13000</v>
      </c>
      <c r="D87" s="37">
        <v>8299.7999999999993</v>
      </c>
      <c r="E87" s="37">
        <v>2099</v>
      </c>
      <c r="F87" s="37"/>
      <c r="G87" s="37"/>
      <c r="H87" s="37"/>
      <c r="I87" s="37"/>
      <c r="J87" s="37"/>
      <c r="K87" s="37"/>
      <c r="L87" s="37"/>
      <c r="M87" s="37"/>
      <c r="N87" s="37"/>
      <c r="O87" s="149">
        <v>4600</v>
      </c>
      <c r="P87" s="38">
        <f>SUM(D87:N87)</f>
        <v>10398.799999999999</v>
      </c>
      <c r="Q87" s="43">
        <f>SUM(D87:O87)</f>
        <v>14998.8</v>
      </c>
      <c r="R87" s="68">
        <f>C87-Q87</f>
        <v>-1998.7999999999993</v>
      </c>
      <c r="S87" s="79">
        <f>R87/1</f>
        <v>-1998.7999999999993</v>
      </c>
    </row>
    <row r="88" spans="1:19" s="7" customFormat="1" ht="15" customHeight="1" x14ac:dyDescent="0.2">
      <c r="A88" s="12" t="s">
        <v>68</v>
      </c>
      <c r="B88" s="55" t="s">
        <v>145</v>
      </c>
      <c r="C88" s="88">
        <v>6000</v>
      </c>
      <c r="D88" s="37"/>
      <c r="E88" s="37"/>
      <c r="F88" s="37"/>
      <c r="G88" s="37"/>
      <c r="H88" s="37">
        <v>4006.8</v>
      </c>
      <c r="I88" s="37"/>
      <c r="J88" s="37"/>
      <c r="K88" s="37"/>
      <c r="L88" s="37"/>
      <c r="M88" s="37"/>
      <c r="N88" s="37"/>
      <c r="O88" s="149"/>
      <c r="P88" s="38">
        <f>SUM(D88:N88)</f>
        <v>4006.8</v>
      </c>
      <c r="Q88" s="33">
        <f>SUM(D88:O88)</f>
        <v>4006.8</v>
      </c>
      <c r="R88" s="68">
        <f>C88-Q88</f>
        <v>1993.1999999999998</v>
      </c>
      <c r="S88" s="79">
        <f t="shared" ref="S88:S90" si="14">R88/1</f>
        <v>1993.1999999999998</v>
      </c>
    </row>
    <row r="89" spans="1:19" s="8" customFormat="1" ht="15" customHeight="1" x14ac:dyDescent="0.2">
      <c r="A89" s="12" t="s">
        <v>69</v>
      </c>
      <c r="B89" s="55" t="s">
        <v>146</v>
      </c>
      <c r="C89" s="88">
        <v>5000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149"/>
      <c r="P89" s="38">
        <f>SUM(D89:N89)</f>
        <v>0</v>
      </c>
      <c r="Q89" s="43">
        <f>SUM(D89:O89)</f>
        <v>0</v>
      </c>
      <c r="R89" s="68">
        <f>C89-Q89</f>
        <v>5000</v>
      </c>
      <c r="S89" s="79">
        <f t="shared" si="14"/>
        <v>5000</v>
      </c>
    </row>
    <row r="90" spans="1:19" s="8" customFormat="1" ht="6.95" customHeight="1" x14ac:dyDescent="0.2">
      <c r="A90" s="12"/>
      <c r="B90" s="55"/>
      <c r="C90" s="88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145"/>
      <c r="P90" s="43"/>
      <c r="Q90" s="43"/>
      <c r="S90" s="79">
        <f t="shared" si="14"/>
        <v>0</v>
      </c>
    </row>
    <row r="91" spans="1:19" s="7" customFormat="1" ht="15" customHeight="1" x14ac:dyDescent="0.2">
      <c r="A91" s="15" t="str">
        <f>"TOTAL "&amp;A85</f>
        <v>TOTAL CAPITAL EXPENDITURE (CAPEX) - PGT</v>
      </c>
      <c r="B91" s="59"/>
      <c r="C91" s="97">
        <f>SUM(C87:C90)</f>
        <v>24000</v>
      </c>
      <c r="D91" s="40">
        <f t="shared" ref="D91:M91" si="15">SUM(D87:D89)</f>
        <v>8299.7999999999993</v>
      </c>
      <c r="E91" s="40">
        <f t="shared" si="15"/>
        <v>2099</v>
      </c>
      <c r="F91" s="40">
        <f t="shared" si="15"/>
        <v>0</v>
      </c>
      <c r="G91" s="40">
        <f t="shared" si="15"/>
        <v>0</v>
      </c>
      <c r="H91" s="40">
        <f t="shared" si="15"/>
        <v>4006.8</v>
      </c>
      <c r="I91" s="40">
        <f t="shared" si="15"/>
        <v>0</v>
      </c>
      <c r="J91" s="40">
        <f t="shared" si="15"/>
        <v>0</v>
      </c>
      <c r="K91" s="40">
        <f t="shared" si="15"/>
        <v>0</v>
      </c>
      <c r="L91" s="40">
        <f t="shared" si="15"/>
        <v>0</v>
      </c>
      <c r="M91" s="40">
        <f t="shared" si="15"/>
        <v>0</v>
      </c>
      <c r="N91" s="40"/>
      <c r="O91" s="152">
        <f>SUM(O87:O89)</f>
        <v>4600</v>
      </c>
      <c r="P91" s="40">
        <f>SUM(D91:M91)</f>
        <v>14405.599999999999</v>
      </c>
      <c r="Q91" s="40">
        <f>SUM(D91:O91)</f>
        <v>19005.599999999999</v>
      </c>
    </row>
    <row r="92" spans="1:19" s="7" customFormat="1" ht="6.95" customHeight="1" x14ac:dyDescent="0.2">
      <c r="A92" s="11"/>
      <c r="B92" s="61"/>
      <c r="C92" s="99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153"/>
      <c r="P92" s="41"/>
      <c r="Q92" s="41"/>
    </row>
    <row r="93" spans="1:19" s="7" customFormat="1" ht="18" customHeight="1" x14ac:dyDescent="0.2">
      <c r="A93" s="171" t="s">
        <v>66</v>
      </c>
      <c r="B93" s="171"/>
      <c r="C93" s="171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</row>
    <row r="94" spans="1:19" s="7" customFormat="1" ht="6.95" customHeight="1" x14ac:dyDescent="0.2">
      <c r="A94" s="10"/>
      <c r="B94" s="58"/>
      <c r="C94" s="96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148"/>
      <c r="P94" s="36"/>
      <c r="Q94" s="36"/>
    </row>
    <row r="95" spans="1:19" s="8" customFormat="1" ht="15" customHeight="1" x14ac:dyDescent="0.2">
      <c r="A95" s="12" t="s">
        <v>70</v>
      </c>
      <c r="B95" s="55" t="s">
        <v>144</v>
      </c>
      <c r="C95" s="88">
        <v>2000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149"/>
      <c r="P95" s="43">
        <f>SUM(D95:N95)</f>
        <v>0</v>
      </c>
      <c r="Q95" s="43">
        <f>SUM(D95:O95)</f>
        <v>0</v>
      </c>
      <c r="R95" s="68">
        <f>C95-Q95</f>
        <v>2000</v>
      </c>
      <c r="S95" s="79">
        <f>R95/1</f>
        <v>2000</v>
      </c>
    </row>
    <row r="96" spans="1:19" s="7" customFormat="1" ht="15" customHeight="1" x14ac:dyDescent="0.2">
      <c r="A96" s="12" t="s">
        <v>68</v>
      </c>
      <c r="B96" s="55" t="s">
        <v>145</v>
      </c>
      <c r="C96" s="88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149"/>
      <c r="P96" s="43">
        <f>SUM(D96:N96)</f>
        <v>0</v>
      </c>
      <c r="Q96" s="33">
        <f>SUM(D96:O96)</f>
        <v>0</v>
      </c>
      <c r="R96" s="68">
        <f>C96-Q96</f>
        <v>0</v>
      </c>
      <c r="S96" s="79">
        <f t="shared" ref="S96:S98" si="16">R96/1</f>
        <v>0</v>
      </c>
    </row>
    <row r="97" spans="1:20" s="8" customFormat="1" ht="15" customHeight="1" x14ac:dyDescent="0.2">
      <c r="A97" s="12" t="s">
        <v>71</v>
      </c>
      <c r="B97" s="55" t="s">
        <v>146</v>
      </c>
      <c r="C97" s="88">
        <v>1000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149"/>
      <c r="P97" s="43">
        <f>SUM(D97:N97)</f>
        <v>0</v>
      </c>
      <c r="Q97" s="43">
        <f>SUM(D97:O97)</f>
        <v>0</v>
      </c>
      <c r="R97" s="68">
        <f>C97-Q97</f>
        <v>1000</v>
      </c>
      <c r="S97" s="79">
        <f t="shared" si="16"/>
        <v>1000</v>
      </c>
    </row>
    <row r="98" spans="1:20" s="7" customFormat="1" ht="15" customHeight="1" x14ac:dyDescent="0.2">
      <c r="A98" s="12" t="s">
        <v>72</v>
      </c>
      <c r="B98" s="136" t="s">
        <v>72</v>
      </c>
      <c r="C98" s="88">
        <v>50000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149">
        <v>0</v>
      </c>
      <c r="P98" s="43">
        <f>SUM(D98:N98)</f>
        <v>0</v>
      </c>
      <c r="Q98" s="33">
        <f>SUM(D98:O98)</f>
        <v>0</v>
      </c>
      <c r="R98" s="68">
        <f>C98-Q98</f>
        <v>50000</v>
      </c>
      <c r="S98" s="79">
        <f t="shared" si="16"/>
        <v>50000</v>
      </c>
    </row>
    <row r="99" spans="1:20" s="8" customFormat="1" ht="6.95" customHeight="1" x14ac:dyDescent="0.2">
      <c r="A99" s="12"/>
      <c r="B99" s="55"/>
      <c r="C99" s="88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145"/>
      <c r="P99" s="43"/>
      <c r="Q99" s="43"/>
      <c r="S99" s="7"/>
    </row>
    <row r="100" spans="1:20" s="7" customFormat="1" ht="15" customHeight="1" x14ac:dyDescent="0.2">
      <c r="A100" s="15" t="str">
        <f>"TOTAL "&amp;A93</f>
        <v>TOTAL CAPITAL EXPENDITURE (CAPEX) - TIC</v>
      </c>
      <c r="B100" s="59"/>
      <c r="C100" s="97">
        <f>SUM(C95:C99)</f>
        <v>53000</v>
      </c>
      <c r="D100" s="40">
        <f t="shared" ref="D100:M100" si="17">SUM(D95:D98)</f>
        <v>0</v>
      </c>
      <c r="E100" s="40">
        <f t="shared" si="17"/>
        <v>0</v>
      </c>
      <c r="F100" s="40">
        <f t="shared" si="17"/>
        <v>0</v>
      </c>
      <c r="G100" s="40">
        <f t="shared" si="17"/>
        <v>0</v>
      </c>
      <c r="H100" s="40">
        <f t="shared" si="17"/>
        <v>0</v>
      </c>
      <c r="I100" s="40">
        <f t="shared" si="17"/>
        <v>0</v>
      </c>
      <c r="J100" s="40">
        <f t="shared" si="17"/>
        <v>0</v>
      </c>
      <c r="K100" s="40">
        <f t="shared" si="17"/>
        <v>0</v>
      </c>
      <c r="L100" s="40">
        <f t="shared" si="17"/>
        <v>0</v>
      </c>
      <c r="M100" s="40">
        <f t="shared" si="17"/>
        <v>0</v>
      </c>
      <c r="N100" s="40"/>
      <c r="O100" s="152">
        <f>SUM(O95:O98)</f>
        <v>0</v>
      </c>
      <c r="P100" s="40">
        <f>SUM(D100:M100)</f>
        <v>0</v>
      </c>
      <c r="Q100" s="40">
        <f>SUM(Q95:Q98)</f>
        <v>0</v>
      </c>
    </row>
    <row r="101" spans="1:20" s="7" customFormat="1" ht="7.5" customHeight="1" x14ac:dyDescent="0.2">
      <c r="A101" s="24"/>
      <c r="B101" s="60"/>
      <c r="C101" s="98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147"/>
      <c r="P101" s="33"/>
      <c r="Q101" s="33"/>
    </row>
    <row r="102" spans="1:20" s="7" customFormat="1" ht="18" customHeight="1" x14ac:dyDescent="0.2">
      <c r="A102" s="171" t="s">
        <v>73</v>
      </c>
      <c r="B102" s="171"/>
      <c r="C102" s="171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</row>
    <row r="103" spans="1:20" s="7" customFormat="1" ht="6.95" customHeight="1" x14ac:dyDescent="0.2">
      <c r="A103" s="10"/>
      <c r="B103" s="58"/>
      <c r="C103" s="96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148"/>
      <c r="P103" s="36"/>
      <c r="Q103" s="36"/>
    </row>
    <row r="104" spans="1:20" s="8" customFormat="1" ht="15" customHeight="1" x14ac:dyDescent="0.2">
      <c r="A104" s="12" t="s">
        <v>74</v>
      </c>
      <c r="B104" s="55" t="s">
        <v>147</v>
      </c>
      <c r="C104" s="88">
        <v>6000</v>
      </c>
      <c r="D104" s="37"/>
      <c r="E104" s="37"/>
      <c r="F104" s="37"/>
      <c r="G104" s="37"/>
      <c r="H104" s="37"/>
      <c r="I104" s="37"/>
      <c r="J104" s="37">
        <v>92.2</v>
      </c>
      <c r="K104" s="37"/>
      <c r="L104" s="37"/>
      <c r="M104" s="37">
        <v>169.6</v>
      </c>
      <c r="N104" s="37">
        <v>82.68</v>
      </c>
      <c r="O104" s="149">
        <v>1976</v>
      </c>
      <c r="P104" s="43">
        <f t="shared" ref="P104:P148" si="18">SUM(D104:N104)</f>
        <v>344.48</v>
      </c>
      <c r="Q104" s="43">
        <f t="shared" ref="Q104:Q148" si="19">SUM(D104:O104)</f>
        <v>2320.48</v>
      </c>
      <c r="R104" s="68">
        <f t="shared" ref="R104:R135" si="20">C104-Q104</f>
        <v>3679.52</v>
      </c>
      <c r="S104" s="79">
        <f>R104/1</f>
        <v>3679.52</v>
      </c>
    </row>
    <row r="105" spans="1:20" s="8" customFormat="1" ht="15" customHeight="1" x14ac:dyDescent="0.2">
      <c r="A105" s="12" t="s">
        <v>75</v>
      </c>
      <c r="B105" s="55" t="s">
        <v>148</v>
      </c>
      <c r="C105" s="88">
        <v>2000</v>
      </c>
      <c r="D105" s="37"/>
      <c r="E105" s="37">
        <v>0</v>
      </c>
      <c r="F105" s="37">
        <v>254.4</v>
      </c>
      <c r="G105" s="37">
        <v>0</v>
      </c>
      <c r="H105" s="37">
        <v>190.8</v>
      </c>
      <c r="I105" s="37"/>
      <c r="J105" s="37">
        <v>623.28</v>
      </c>
      <c r="K105" s="37"/>
      <c r="L105" s="37"/>
      <c r="M105" s="37"/>
      <c r="N105" s="37">
        <v>63.6</v>
      </c>
      <c r="O105" s="149">
        <v>400</v>
      </c>
      <c r="P105" s="43">
        <f t="shared" si="18"/>
        <v>1132.08</v>
      </c>
      <c r="Q105" s="43">
        <f t="shared" si="19"/>
        <v>1532.08</v>
      </c>
      <c r="R105" s="68">
        <f t="shared" si="20"/>
        <v>467.92000000000007</v>
      </c>
      <c r="S105" s="79">
        <f t="shared" ref="S105:S156" si="21">R105/1</f>
        <v>467.92000000000007</v>
      </c>
    </row>
    <row r="106" spans="1:20" s="8" customFormat="1" ht="15" customHeight="1" x14ac:dyDescent="0.2">
      <c r="A106" s="12" t="s">
        <v>76</v>
      </c>
      <c r="B106" s="55" t="s">
        <v>149</v>
      </c>
      <c r="C106" s="88">
        <v>170000</v>
      </c>
      <c r="D106" s="37">
        <v>1026.7</v>
      </c>
      <c r="E106" s="37">
        <v>4729</v>
      </c>
      <c r="F106" s="37">
        <v>19673.650000000001</v>
      </c>
      <c r="G106" s="37">
        <v>4695.3999999999996</v>
      </c>
      <c r="H106" s="37">
        <v>7681.57</v>
      </c>
      <c r="I106" s="37">
        <v>10527.47</v>
      </c>
      <c r="J106" s="37">
        <v>8950.9</v>
      </c>
      <c r="K106" s="37">
        <v>8182.75</v>
      </c>
      <c r="L106" s="37">
        <v>4748.8500000000004</v>
      </c>
      <c r="M106" s="37">
        <v>16573.990000000002</v>
      </c>
      <c r="N106" s="37">
        <v>2850.37</v>
      </c>
      <c r="O106" s="149">
        <v>21938.86</v>
      </c>
      <c r="P106" s="43">
        <f t="shared" si="18"/>
        <v>89640.650000000009</v>
      </c>
      <c r="Q106" s="43">
        <f t="shared" si="19"/>
        <v>111579.51000000001</v>
      </c>
      <c r="R106" s="68">
        <f t="shared" si="20"/>
        <v>58420.489999999991</v>
      </c>
      <c r="S106" s="79">
        <f t="shared" si="21"/>
        <v>58420.489999999991</v>
      </c>
    </row>
    <row r="107" spans="1:20" s="8" customFormat="1" ht="15" customHeight="1" x14ac:dyDescent="0.2">
      <c r="A107" s="12" t="s">
        <v>78</v>
      </c>
      <c r="B107" s="55" t="s">
        <v>149</v>
      </c>
      <c r="C107" s="88">
        <v>5000</v>
      </c>
      <c r="D107" s="37">
        <v>1632.4</v>
      </c>
      <c r="E107" s="37">
        <v>356.55</v>
      </c>
      <c r="F107" s="37">
        <v>296.89999999999998</v>
      </c>
      <c r="G107" s="37">
        <v>185.6</v>
      </c>
      <c r="H107" s="37">
        <v>535</v>
      </c>
      <c r="I107" s="37">
        <v>405.05</v>
      </c>
      <c r="J107" s="37">
        <v>133.75</v>
      </c>
      <c r="K107" s="37">
        <v>800</v>
      </c>
      <c r="L107" s="37">
        <v>185.5</v>
      </c>
      <c r="M107" s="37">
        <v>-800</v>
      </c>
      <c r="N107" s="37">
        <v>30</v>
      </c>
      <c r="O107" s="149">
        <v>1239.25</v>
      </c>
      <c r="P107" s="43">
        <f t="shared" si="18"/>
        <v>3760.75</v>
      </c>
      <c r="Q107" s="43">
        <f t="shared" si="19"/>
        <v>5000</v>
      </c>
      <c r="R107" s="68">
        <f t="shared" si="20"/>
        <v>0</v>
      </c>
      <c r="S107" s="79">
        <f t="shared" si="21"/>
        <v>0</v>
      </c>
    </row>
    <row r="108" spans="1:20" s="8" customFormat="1" ht="8.25" customHeight="1" x14ac:dyDescent="0.2">
      <c r="A108" s="12"/>
      <c r="B108" s="55"/>
      <c r="C108" s="88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154"/>
      <c r="P108" s="43">
        <f t="shared" si="18"/>
        <v>0</v>
      </c>
      <c r="Q108" s="43">
        <f t="shared" si="19"/>
        <v>0</v>
      </c>
      <c r="R108" s="68">
        <f t="shared" si="20"/>
        <v>0</v>
      </c>
      <c r="S108" s="79">
        <f t="shared" si="21"/>
        <v>0</v>
      </c>
    </row>
    <row r="109" spans="1:20" s="8" customFormat="1" ht="15" customHeight="1" x14ac:dyDescent="0.2">
      <c r="A109" s="12" t="s">
        <v>79</v>
      </c>
      <c r="B109" s="55" t="s">
        <v>79</v>
      </c>
      <c r="C109" s="88">
        <v>25000</v>
      </c>
      <c r="D109" s="37">
        <v>1306.33</v>
      </c>
      <c r="E109" s="37">
        <v>0</v>
      </c>
      <c r="F109" s="37">
        <v>101.75</v>
      </c>
      <c r="G109" s="37">
        <v>2989.71</v>
      </c>
      <c r="H109" s="37">
        <v>0</v>
      </c>
      <c r="I109" s="37"/>
      <c r="J109" s="37"/>
      <c r="K109" s="37">
        <v>5292.93</v>
      </c>
      <c r="L109" s="37">
        <v>1496.08</v>
      </c>
      <c r="M109" s="37">
        <v>984.83</v>
      </c>
      <c r="N109" s="37">
        <v>760.9</v>
      </c>
      <c r="O109" s="149">
        <v>2000</v>
      </c>
      <c r="P109" s="43">
        <f t="shared" si="18"/>
        <v>12932.53</v>
      </c>
      <c r="Q109" s="43">
        <f t="shared" si="19"/>
        <v>14932.53</v>
      </c>
      <c r="R109" s="68">
        <f t="shared" si="20"/>
        <v>10067.469999999999</v>
      </c>
      <c r="S109" s="79">
        <f t="shared" si="21"/>
        <v>10067.469999999999</v>
      </c>
    </row>
    <row r="110" spans="1:20" s="8" customFormat="1" ht="15" customHeight="1" x14ac:dyDescent="0.2">
      <c r="A110" s="12" t="s">
        <v>80</v>
      </c>
      <c r="B110" s="136" t="s">
        <v>79</v>
      </c>
      <c r="C110" s="88">
        <v>80000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149">
        <v>0</v>
      </c>
      <c r="P110" s="43">
        <f t="shared" si="18"/>
        <v>0</v>
      </c>
      <c r="Q110" s="43">
        <f t="shared" si="19"/>
        <v>0</v>
      </c>
      <c r="R110" s="68">
        <f t="shared" si="20"/>
        <v>80000</v>
      </c>
      <c r="S110" s="79">
        <f t="shared" si="21"/>
        <v>80000</v>
      </c>
    </row>
    <row r="111" spans="1:20" s="8" customFormat="1" ht="15" customHeight="1" x14ac:dyDescent="0.2">
      <c r="A111" s="12" t="s">
        <v>81</v>
      </c>
      <c r="B111" s="55" t="s">
        <v>150</v>
      </c>
      <c r="C111" s="88">
        <v>36000</v>
      </c>
      <c r="D111" s="37"/>
      <c r="E111" s="37">
        <v>11154.82</v>
      </c>
      <c r="F111" s="37">
        <v>12409.76</v>
      </c>
      <c r="G111" s="37">
        <v>5853.79</v>
      </c>
      <c r="H111" s="37">
        <v>0</v>
      </c>
      <c r="I111" s="37"/>
      <c r="J111" s="37"/>
      <c r="K111" s="37"/>
      <c r="L111" s="37"/>
      <c r="M111" s="37"/>
      <c r="N111" s="37"/>
      <c r="O111" s="149">
        <v>0</v>
      </c>
      <c r="P111" s="43">
        <f t="shared" si="18"/>
        <v>29418.370000000003</v>
      </c>
      <c r="Q111" s="43">
        <f t="shared" si="19"/>
        <v>29418.370000000003</v>
      </c>
      <c r="R111" s="68">
        <f t="shared" si="20"/>
        <v>6581.6299999999974</v>
      </c>
      <c r="S111" s="79">
        <f t="shared" si="21"/>
        <v>6581.6299999999974</v>
      </c>
    </row>
    <row r="112" spans="1:20" s="8" customFormat="1" ht="15" customHeight="1" x14ac:dyDescent="0.2">
      <c r="A112" s="12" t="s">
        <v>192</v>
      </c>
      <c r="B112" s="55" t="s">
        <v>150</v>
      </c>
      <c r="C112" s="88">
        <v>36000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>
        <v>10678.2</v>
      </c>
      <c r="N112" s="37">
        <v>9810.26</v>
      </c>
      <c r="O112" s="149">
        <f>2965.87+2500</f>
        <v>5465.87</v>
      </c>
      <c r="P112" s="43">
        <f t="shared" si="18"/>
        <v>20488.46</v>
      </c>
      <c r="Q112" s="43">
        <f t="shared" si="19"/>
        <v>25954.329999999998</v>
      </c>
      <c r="R112" s="68">
        <f t="shared" si="20"/>
        <v>10045.670000000002</v>
      </c>
      <c r="S112" s="79">
        <f t="shared" si="21"/>
        <v>10045.670000000002</v>
      </c>
      <c r="T112" s="8">
        <v>400</v>
      </c>
    </row>
    <row r="113" spans="1:20" s="8" customFormat="1" ht="15" customHeight="1" x14ac:dyDescent="0.2">
      <c r="A113" s="12" t="s">
        <v>193</v>
      </c>
      <c r="B113" s="55" t="s">
        <v>151</v>
      </c>
      <c r="C113" s="88">
        <f>160000+140000</f>
        <v>300000</v>
      </c>
      <c r="D113" s="37"/>
      <c r="E113" s="37"/>
      <c r="F113" s="37"/>
      <c r="G113" s="37"/>
      <c r="H113" s="37"/>
      <c r="I113" s="37"/>
      <c r="J113" s="37">
        <v>53293.64</v>
      </c>
      <c r="K113" s="37">
        <v>55624.800000000003</v>
      </c>
      <c r="L113" s="37">
        <v>4447.4399999999996</v>
      </c>
      <c r="M113" s="37">
        <v>139004.73000000001</v>
      </c>
      <c r="N113" s="37"/>
      <c r="O113" s="149">
        <v>0</v>
      </c>
      <c r="P113" s="43">
        <f t="shared" si="18"/>
        <v>252370.61000000002</v>
      </c>
      <c r="Q113" s="43">
        <f t="shared" si="19"/>
        <v>252370.61000000002</v>
      </c>
      <c r="R113" s="135">
        <f t="shared" si="20"/>
        <v>47629.389999999985</v>
      </c>
      <c r="S113" s="79">
        <f t="shared" si="21"/>
        <v>47629.389999999985</v>
      </c>
    </row>
    <row r="114" spans="1:20" s="8" customFormat="1" ht="15" customHeight="1" x14ac:dyDescent="0.2">
      <c r="A114" s="12" t="s">
        <v>251</v>
      </c>
      <c r="B114" s="55" t="s">
        <v>150</v>
      </c>
      <c r="C114" s="88">
        <v>260000</v>
      </c>
      <c r="D114" s="37"/>
      <c r="E114" s="37">
        <v>-2000</v>
      </c>
      <c r="F114" s="37">
        <v>-4000</v>
      </c>
      <c r="G114" s="37"/>
      <c r="H114" s="37"/>
      <c r="I114" s="37">
        <v>209623.46</v>
      </c>
      <c r="J114" s="37">
        <v>49747.91</v>
      </c>
      <c r="K114" s="37"/>
      <c r="L114" s="37"/>
      <c r="M114" s="37"/>
      <c r="N114" s="37"/>
      <c r="O114" s="149">
        <v>0</v>
      </c>
      <c r="P114" s="43">
        <f t="shared" si="18"/>
        <v>253371.37</v>
      </c>
      <c r="Q114" s="43">
        <f t="shared" si="19"/>
        <v>253371.37</v>
      </c>
      <c r="R114" s="68">
        <f t="shared" si="20"/>
        <v>6628.6300000000047</v>
      </c>
      <c r="S114" s="79">
        <f t="shared" si="21"/>
        <v>6628.6300000000047</v>
      </c>
    </row>
    <row r="115" spans="1:20" s="8" customFormat="1" ht="15" customHeight="1" x14ac:dyDescent="0.2">
      <c r="A115" s="12" t="s">
        <v>247</v>
      </c>
      <c r="B115" s="55" t="s">
        <v>149</v>
      </c>
      <c r="C115" s="88">
        <v>65000</v>
      </c>
      <c r="D115" s="37"/>
      <c r="E115" s="37"/>
      <c r="F115" s="37"/>
      <c r="G115" s="37"/>
      <c r="H115" s="37"/>
      <c r="I115" s="37">
        <v>26767.200000000001</v>
      </c>
      <c r="J115" s="37">
        <v>19800</v>
      </c>
      <c r="K115" s="37"/>
      <c r="L115" s="37"/>
      <c r="M115" s="37"/>
      <c r="N115" s="37"/>
      <c r="O115" s="149">
        <v>0</v>
      </c>
      <c r="P115" s="43">
        <f t="shared" si="18"/>
        <v>46567.199999999997</v>
      </c>
      <c r="Q115" s="43">
        <f t="shared" si="19"/>
        <v>46567.199999999997</v>
      </c>
      <c r="R115" s="68">
        <f t="shared" si="20"/>
        <v>18432.800000000003</v>
      </c>
      <c r="S115" s="79">
        <f t="shared" si="21"/>
        <v>18432.800000000003</v>
      </c>
    </row>
    <row r="116" spans="1:20" s="8" customFormat="1" ht="15" customHeight="1" x14ac:dyDescent="0.2">
      <c r="A116" s="12" t="s">
        <v>269</v>
      </c>
      <c r="B116" s="55" t="s">
        <v>151</v>
      </c>
      <c r="C116" s="88">
        <v>40000</v>
      </c>
      <c r="D116" s="37"/>
      <c r="E116" s="37"/>
      <c r="F116" s="37"/>
      <c r="G116" s="37"/>
      <c r="H116" s="37"/>
      <c r="I116" s="37"/>
      <c r="J116" s="37"/>
      <c r="K116" s="37"/>
      <c r="L116" s="37">
        <v>38789.370000000003</v>
      </c>
      <c r="M116" s="37"/>
      <c r="N116" s="37"/>
      <c r="O116" s="149">
        <v>0</v>
      </c>
      <c r="P116" s="43">
        <f t="shared" si="18"/>
        <v>38789.370000000003</v>
      </c>
      <c r="Q116" s="43">
        <f t="shared" si="19"/>
        <v>38789.370000000003</v>
      </c>
      <c r="R116" s="68">
        <f t="shared" si="20"/>
        <v>1210.6299999999974</v>
      </c>
      <c r="S116" s="79">
        <f t="shared" si="21"/>
        <v>1210.6299999999974</v>
      </c>
    </row>
    <row r="117" spans="1:20" s="8" customFormat="1" ht="15" customHeight="1" x14ac:dyDescent="0.2">
      <c r="A117" s="12" t="s">
        <v>82</v>
      </c>
      <c r="B117" s="55" t="s">
        <v>150</v>
      </c>
      <c r="C117" s="88">
        <v>30000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149">
        <v>0</v>
      </c>
      <c r="P117" s="43">
        <f t="shared" si="18"/>
        <v>0</v>
      </c>
      <c r="Q117" s="43">
        <f t="shared" si="19"/>
        <v>0</v>
      </c>
      <c r="R117" s="68">
        <f t="shared" si="20"/>
        <v>30000</v>
      </c>
      <c r="S117" s="79">
        <f t="shared" si="21"/>
        <v>30000</v>
      </c>
    </row>
    <row r="118" spans="1:20" s="8" customFormat="1" ht="25.5" x14ac:dyDescent="0.2">
      <c r="A118" s="25" t="s">
        <v>204</v>
      </c>
      <c r="B118" s="55" t="s">
        <v>151</v>
      </c>
      <c r="C118" s="88">
        <v>80000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149">
        <v>83000</v>
      </c>
      <c r="P118" s="43">
        <f t="shared" si="18"/>
        <v>0</v>
      </c>
      <c r="Q118" s="43">
        <f t="shared" si="19"/>
        <v>83000</v>
      </c>
      <c r="R118" s="68">
        <f t="shared" si="20"/>
        <v>-3000</v>
      </c>
      <c r="S118" s="79">
        <f t="shared" si="21"/>
        <v>-3000</v>
      </c>
      <c r="T118" s="8">
        <v>3000</v>
      </c>
    </row>
    <row r="119" spans="1:20" s="8" customFormat="1" ht="15" customHeight="1" x14ac:dyDescent="0.2">
      <c r="A119" s="12" t="s">
        <v>248</v>
      </c>
      <c r="B119" s="55" t="s">
        <v>150</v>
      </c>
      <c r="C119" s="88">
        <v>15000</v>
      </c>
      <c r="D119" s="37"/>
      <c r="E119" s="37">
        <v>-6000</v>
      </c>
      <c r="F119" s="37">
        <v>0</v>
      </c>
      <c r="G119" s="37">
        <v>0</v>
      </c>
      <c r="H119" s="37">
        <v>-3000</v>
      </c>
      <c r="I119" s="37"/>
      <c r="J119" s="37">
        <v>-6000</v>
      </c>
      <c r="K119" s="37"/>
      <c r="L119" s="37">
        <v>-3000</v>
      </c>
      <c r="M119" s="37"/>
      <c r="N119" s="37"/>
      <c r="O119" s="149">
        <v>0</v>
      </c>
      <c r="P119" s="43">
        <f t="shared" si="18"/>
        <v>-18000</v>
      </c>
      <c r="Q119" s="43">
        <f t="shared" si="19"/>
        <v>-18000</v>
      </c>
      <c r="R119" s="68">
        <f t="shared" si="20"/>
        <v>33000</v>
      </c>
      <c r="S119" s="79">
        <f t="shared" si="21"/>
        <v>33000</v>
      </c>
    </row>
    <row r="120" spans="1:20" s="8" customFormat="1" ht="15" customHeight="1" x14ac:dyDescent="0.2">
      <c r="A120" s="12" t="s">
        <v>164</v>
      </c>
      <c r="B120" s="55" t="s">
        <v>151</v>
      </c>
      <c r="C120" s="88">
        <v>120000</v>
      </c>
      <c r="D120" s="37"/>
      <c r="E120" s="37"/>
      <c r="F120" s="37"/>
      <c r="G120" s="37"/>
      <c r="H120" s="37"/>
      <c r="I120" s="37"/>
      <c r="J120" s="37"/>
      <c r="K120" s="37">
        <v>2728.85</v>
      </c>
      <c r="L120" s="37"/>
      <c r="M120" s="37">
        <v>33173.800000000003</v>
      </c>
      <c r="N120" s="37"/>
      <c r="O120" s="149">
        <v>75000</v>
      </c>
      <c r="P120" s="43">
        <f t="shared" si="18"/>
        <v>35902.65</v>
      </c>
      <c r="Q120" s="43">
        <f t="shared" si="19"/>
        <v>110902.65</v>
      </c>
      <c r="R120" s="68">
        <f t="shared" si="20"/>
        <v>9097.3500000000058</v>
      </c>
      <c r="S120" s="79">
        <f t="shared" si="21"/>
        <v>9097.3500000000058</v>
      </c>
      <c r="T120" s="8">
        <v>5000</v>
      </c>
    </row>
    <row r="121" spans="1:20" s="8" customFormat="1" ht="15" customHeight="1" x14ac:dyDescent="0.2">
      <c r="A121" s="12" t="s">
        <v>236</v>
      </c>
      <c r="B121" s="55" t="s">
        <v>151</v>
      </c>
      <c r="C121" s="71">
        <v>25000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149">
        <v>0</v>
      </c>
      <c r="P121" s="43">
        <f t="shared" si="18"/>
        <v>0</v>
      </c>
      <c r="Q121" s="43">
        <f t="shared" si="19"/>
        <v>0</v>
      </c>
      <c r="R121" s="68">
        <f t="shared" si="20"/>
        <v>25000</v>
      </c>
      <c r="S121" s="79">
        <f t="shared" si="21"/>
        <v>25000</v>
      </c>
    </row>
    <row r="122" spans="1:20" s="8" customFormat="1" ht="15" customHeight="1" x14ac:dyDescent="0.2">
      <c r="A122" s="12" t="s">
        <v>205</v>
      </c>
      <c r="B122" s="55" t="s">
        <v>150</v>
      </c>
      <c r="C122" s="88">
        <v>40000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149">
        <v>0</v>
      </c>
      <c r="P122" s="43">
        <f t="shared" si="18"/>
        <v>0</v>
      </c>
      <c r="Q122" s="43">
        <f t="shared" si="19"/>
        <v>0</v>
      </c>
      <c r="R122" s="68">
        <f t="shared" si="20"/>
        <v>40000</v>
      </c>
      <c r="S122" s="79">
        <f t="shared" si="21"/>
        <v>40000</v>
      </c>
    </row>
    <row r="123" spans="1:20" s="8" customFormat="1" ht="15" customHeight="1" x14ac:dyDescent="0.2">
      <c r="A123" s="12" t="s">
        <v>263</v>
      </c>
      <c r="B123" s="55" t="s">
        <v>150</v>
      </c>
      <c r="C123" s="88">
        <v>35000</v>
      </c>
      <c r="D123" s="37"/>
      <c r="E123" s="37">
        <v>-2000</v>
      </c>
      <c r="F123" s="37">
        <v>0</v>
      </c>
      <c r="G123" s="37">
        <v>0</v>
      </c>
      <c r="H123" s="37">
        <v>-2000</v>
      </c>
      <c r="I123" s="37"/>
      <c r="J123" s="37"/>
      <c r="K123" s="37"/>
      <c r="L123" s="37"/>
      <c r="M123" s="37">
        <v>16191.14</v>
      </c>
      <c r="N123" s="37">
        <v>41</v>
      </c>
      <c r="O123" s="149">
        <f>25000+2733.19</f>
        <v>27733.19</v>
      </c>
      <c r="P123" s="43">
        <f t="shared" si="18"/>
        <v>12232.14</v>
      </c>
      <c r="Q123" s="43">
        <f t="shared" si="19"/>
        <v>39965.33</v>
      </c>
      <c r="R123" s="68">
        <f t="shared" si="20"/>
        <v>-4965.3300000000017</v>
      </c>
      <c r="S123" s="79">
        <f t="shared" si="21"/>
        <v>-4965.3300000000017</v>
      </c>
      <c r="T123" s="8">
        <v>3292</v>
      </c>
    </row>
    <row r="124" spans="1:20" s="8" customFormat="1" ht="15" customHeight="1" x14ac:dyDescent="0.2">
      <c r="A124" s="12" t="s">
        <v>206</v>
      </c>
      <c r="B124" s="55" t="s">
        <v>151</v>
      </c>
      <c r="C124" s="88">
        <v>35000</v>
      </c>
      <c r="D124" s="37">
        <v>600</v>
      </c>
      <c r="E124" s="37">
        <v>385</v>
      </c>
      <c r="F124" s="37">
        <v>1505</v>
      </c>
      <c r="G124" s="37">
        <v>795</v>
      </c>
      <c r="H124" s="37">
        <v>6365</v>
      </c>
      <c r="I124" s="37">
        <v>6675</v>
      </c>
      <c r="J124" s="37">
        <v>5615</v>
      </c>
      <c r="K124" s="37">
        <v>2085</v>
      </c>
      <c r="L124" s="37"/>
      <c r="M124" s="37"/>
      <c r="N124" s="37">
        <v>735</v>
      </c>
      <c r="O124" s="149">
        <v>0</v>
      </c>
      <c r="P124" s="43">
        <f t="shared" si="18"/>
        <v>24760</v>
      </c>
      <c r="Q124" s="43">
        <f t="shared" si="19"/>
        <v>24760</v>
      </c>
      <c r="R124" s="68">
        <f t="shared" si="20"/>
        <v>10240</v>
      </c>
      <c r="S124" s="79">
        <f t="shared" si="21"/>
        <v>10240</v>
      </c>
    </row>
    <row r="125" spans="1:20" s="8" customFormat="1" ht="15" customHeight="1" x14ac:dyDescent="0.2">
      <c r="A125" s="12" t="s">
        <v>207</v>
      </c>
      <c r="B125" s="55" t="s">
        <v>151</v>
      </c>
      <c r="C125" s="88">
        <v>35000</v>
      </c>
      <c r="D125" s="37"/>
      <c r="E125" s="37">
        <v>0</v>
      </c>
      <c r="F125" s="37"/>
      <c r="G125" s="37"/>
      <c r="H125" s="37"/>
      <c r="I125" s="37"/>
      <c r="J125" s="37">
        <v>54259.28</v>
      </c>
      <c r="K125" s="37"/>
      <c r="L125" s="37"/>
      <c r="M125" s="37"/>
      <c r="N125" s="37"/>
      <c r="O125" s="149">
        <v>0</v>
      </c>
      <c r="P125" s="43">
        <f t="shared" si="18"/>
        <v>54259.28</v>
      </c>
      <c r="Q125" s="43">
        <f t="shared" si="19"/>
        <v>54259.28</v>
      </c>
      <c r="R125" s="116">
        <f t="shared" si="20"/>
        <v>-19259.28</v>
      </c>
      <c r="S125" s="79">
        <f t="shared" si="21"/>
        <v>-19259.28</v>
      </c>
    </row>
    <row r="126" spans="1:20" s="8" customFormat="1" ht="15" customHeight="1" x14ac:dyDescent="0.2">
      <c r="A126" s="12" t="s">
        <v>240</v>
      </c>
      <c r="B126" s="55" t="s">
        <v>150</v>
      </c>
      <c r="C126" s="88">
        <v>0</v>
      </c>
      <c r="D126" s="37"/>
      <c r="E126" s="37">
        <v>6069.14</v>
      </c>
      <c r="F126" s="37">
        <v>87.3</v>
      </c>
      <c r="G126" s="37"/>
      <c r="H126" s="37"/>
      <c r="I126" s="37"/>
      <c r="J126" s="37"/>
      <c r="K126" s="37"/>
      <c r="L126" s="37"/>
      <c r="M126" s="37"/>
      <c r="N126" s="37"/>
      <c r="O126" s="149">
        <v>0</v>
      </c>
      <c r="P126" s="43">
        <f t="shared" si="18"/>
        <v>6156.4400000000005</v>
      </c>
      <c r="Q126" s="43">
        <f t="shared" si="19"/>
        <v>6156.4400000000005</v>
      </c>
      <c r="R126" s="116">
        <f t="shared" si="20"/>
        <v>-6156.4400000000005</v>
      </c>
      <c r="S126" s="79">
        <f t="shared" si="21"/>
        <v>-6156.4400000000005</v>
      </c>
    </row>
    <row r="127" spans="1:20" s="8" customFormat="1" ht="15" customHeight="1" x14ac:dyDescent="0.2">
      <c r="A127" s="12" t="s">
        <v>165</v>
      </c>
      <c r="B127" s="55" t="s">
        <v>151</v>
      </c>
      <c r="C127" s="88">
        <v>70000</v>
      </c>
      <c r="D127" s="37"/>
      <c r="E127" s="37">
        <v>0</v>
      </c>
      <c r="F127" s="37">
        <v>4280.49</v>
      </c>
      <c r="G127" s="37">
        <v>0</v>
      </c>
      <c r="H127" s="37">
        <v>1544.38</v>
      </c>
      <c r="I127" s="37"/>
      <c r="J127" s="37"/>
      <c r="K127" s="37"/>
      <c r="L127" s="37"/>
      <c r="M127" s="37"/>
      <c r="N127" s="37"/>
      <c r="O127" s="149"/>
      <c r="P127" s="43">
        <f t="shared" si="18"/>
        <v>5824.87</v>
      </c>
      <c r="Q127" s="43">
        <f t="shared" si="19"/>
        <v>5824.87</v>
      </c>
      <c r="R127" s="68">
        <f t="shared" si="20"/>
        <v>64175.13</v>
      </c>
      <c r="S127" s="79">
        <f t="shared" si="21"/>
        <v>64175.13</v>
      </c>
    </row>
    <row r="128" spans="1:20" s="8" customFormat="1" ht="15" customHeight="1" x14ac:dyDescent="0.2">
      <c r="A128" s="12" t="s">
        <v>208</v>
      </c>
      <c r="B128" s="136" t="s">
        <v>151</v>
      </c>
      <c r="C128" s="88">
        <v>100000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149">
        <v>92500</v>
      </c>
      <c r="P128" s="43">
        <f t="shared" si="18"/>
        <v>0</v>
      </c>
      <c r="Q128" s="43">
        <f t="shared" si="19"/>
        <v>92500</v>
      </c>
      <c r="R128" s="68">
        <f t="shared" si="20"/>
        <v>7500</v>
      </c>
      <c r="S128" s="79">
        <f t="shared" si="21"/>
        <v>7500</v>
      </c>
      <c r="T128" s="8">
        <v>-2900</v>
      </c>
    </row>
    <row r="129" spans="1:20" s="8" customFormat="1" ht="15" customHeight="1" x14ac:dyDescent="0.2">
      <c r="A129" s="12" t="s">
        <v>245</v>
      </c>
      <c r="B129" s="55" t="s">
        <v>150</v>
      </c>
      <c r="C129" s="88">
        <v>0</v>
      </c>
      <c r="D129" s="37"/>
      <c r="E129" s="37"/>
      <c r="F129" s="37"/>
      <c r="G129" s="37">
        <v>0</v>
      </c>
      <c r="H129" s="37">
        <v>1509.31</v>
      </c>
      <c r="I129" s="37"/>
      <c r="J129" s="37"/>
      <c r="K129" s="37"/>
      <c r="L129" s="37"/>
      <c r="M129" s="37"/>
      <c r="N129" s="37"/>
      <c r="O129" s="149">
        <v>0</v>
      </c>
      <c r="P129" s="43">
        <f t="shared" si="18"/>
        <v>1509.31</v>
      </c>
      <c r="Q129" s="43">
        <f t="shared" si="19"/>
        <v>1509.31</v>
      </c>
      <c r="R129" s="116">
        <f t="shared" si="20"/>
        <v>-1509.31</v>
      </c>
      <c r="S129" s="79">
        <f t="shared" si="21"/>
        <v>-1509.31</v>
      </c>
    </row>
    <row r="130" spans="1:20" s="8" customFormat="1" ht="15" customHeight="1" x14ac:dyDescent="0.2">
      <c r="A130" s="12" t="s">
        <v>209</v>
      </c>
      <c r="B130" s="55" t="s">
        <v>150</v>
      </c>
      <c r="C130" s="88">
        <v>100000</v>
      </c>
      <c r="D130" s="37"/>
      <c r="E130" s="37">
        <v>77066.990000000005</v>
      </c>
      <c r="F130" s="37">
        <v>23998.9</v>
      </c>
      <c r="G130" s="37"/>
      <c r="H130" s="37"/>
      <c r="I130" s="37"/>
      <c r="J130" s="37"/>
      <c r="K130" s="37"/>
      <c r="L130" s="37"/>
      <c r="M130" s="37"/>
      <c r="N130" s="37"/>
      <c r="O130" s="149">
        <v>0</v>
      </c>
      <c r="P130" s="43">
        <f t="shared" si="18"/>
        <v>101065.89000000001</v>
      </c>
      <c r="Q130" s="43">
        <f t="shared" si="19"/>
        <v>101065.89000000001</v>
      </c>
      <c r="R130" s="116">
        <f t="shared" si="20"/>
        <v>-1065.890000000014</v>
      </c>
      <c r="S130" s="79">
        <f t="shared" si="21"/>
        <v>-1065.890000000014</v>
      </c>
    </row>
    <row r="131" spans="1:20" s="8" customFormat="1" ht="15" customHeight="1" x14ac:dyDescent="0.2">
      <c r="A131" s="12" t="s">
        <v>210</v>
      </c>
      <c r="B131" s="55" t="s">
        <v>151</v>
      </c>
      <c r="C131" s="88">
        <v>95000</v>
      </c>
      <c r="D131" s="37"/>
      <c r="E131" s="37">
        <v>2478</v>
      </c>
      <c r="F131" s="37">
        <v>15030</v>
      </c>
      <c r="G131" s="37"/>
      <c r="H131" s="37"/>
      <c r="I131" s="37"/>
      <c r="J131" s="37"/>
      <c r="K131" s="37"/>
      <c r="L131" s="37"/>
      <c r="M131" s="37"/>
      <c r="N131" s="37"/>
      <c r="O131" s="155">
        <v>82500</v>
      </c>
      <c r="P131" s="43">
        <f t="shared" si="18"/>
        <v>17508</v>
      </c>
      <c r="Q131" s="43">
        <f t="shared" si="19"/>
        <v>100008</v>
      </c>
      <c r="R131" s="68">
        <f t="shared" si="20"/>
        <v>-5008</v>
      </c>
      <c r="S131" s="79">
        <f t="shared" si="21"/>
        <v>-5008</v>
      </c>
      <c r="T131" s="8">
        <v>-2223.0500000000002</v>
      </c>
    </row>
    <row r="132" spans="1:20" s="8" customFormat="1" ht="15" customHeight="1" x14ac:dyDescent="0.2">
      <c r="A132" s="12" t="s">
        <v>211</v>
      </c>
      <c r="B132" s="55" t="s">
        <v>151</v>
      </c>
      <c r="C132" s="88">
        <v>45000</v>
      </c>
      <c r="D132" s="37"/>
      <c r="E132" s="37">
        <v>21870.959999999999</v>
      </c>
      <c r="F132" s="37">
        <v>9770</v>
      </c>
      <c r="G132" s="37"/>
      <c r="H132" s="37"/>
      <c r="I132" s="37"/>
      <c r="J132" s="37"/>
      <c r="K132" s="37"/>
      <c r="L132" s="37"/>
      <c r="M132" s="37"/>
      <c r="N132" s="37"/>
      <c r="O132" s="149">
        <v>0</v>
      </c>
      <c r="P132" s="43">
        <f t="shared" si="18"/>
        <v>31640.959999999999</v>
      </c>
      <c r="Q132" s="43">
        <f t="shared" si="19"/>
        <v>31640.959999999999</v>
      </c>
      <c r="R132" s="68">
        <f t="shared" si="20"/>
        <v>13359.04</v>
      </c>
      <c r="S132" s="79">
        <f t="shared" si="21"/>
        <v>13359.04</v>
      </c>
    </row>
    <row r="133" spans="1:20" s="8" customFormat="1" ht="15" customHeight="1" x14ac:dyDescent="0.2">
      <c r="A133" s="12" t="s">
        <v>214</v>
      </c>
      <c r="B133" s="55" t="s">
        <v>150</v>
      </c>
      <c r="C133" s="88">
        <v>90000</v>
      </c>
      <c r="D133" s="37"/>
      <c r="E133" s="37"/>
      <c r="F133" s="37"/>
      <c r="G133" s="37"/>
      <c r="H133" s="37"/>
      <c r="I133" s="37">
        <v>30888.78</v>
      </c>
      <c r="J133" s="37">
        <v>5794.25</v>
      </c>
      <c r="K133" s="37">
        <v>288.24</v>
      </c>
      <c r="L133" s="37"/>
      <c r="M133" s="37"/>
      <c r="N133" s="37"/>
      <c r="O133" s="149">
        <v>0</v>
      </c>
      <c r="P133" s="43">
        <f t="shared" si="18"/>
        <v>36971.269999999997</v>
      </c>
      <c r="Q133" s="43">
        <f t="shared" si="19"/>
        <v>36971.269999999997</v>
      </c>
      <c r="R133" s="68">
        <f t="shared" si="20"/>
        <v>53028.73</v>
      </c>
      <c r="S133" s="79">
        <f t="shared" si="21"/>
        <v>53028.73</v>
      </c>
    </row>
    <row r="134" spans="1:20" s="8" customFormat="1" ht="15" customHeight="1" x14ac:dyDescent="0.2">
      <c r="A134" s="12" t="s">
        <v>212</v>
      </c>
      <c r="B134" s="136" t="s">
        <v>151</v>
      </c>
      <c r="C134" s="88">
        <v>100000</v>
      </c>
      <c r="D134" s="37"/>
      <c r="E134" s="37"/>
      <c r="F134" s="113"/>
      <c r="G134" s="37"/>
      <c r="H134" s="37"/>
      <c r="I134" s="37"/>
      <c r="J134" s="37"/>
      <c r="K134" s="37"/>
      <c r="L134" s="37"/>
      <c r="M134" s="37"/>
      <c r="N134" s="37"/>
      <c r="O134" s="149">
        <v>0</v>
      </c>
      <c r="P134" s="43">
        <f t="shared" si="18"/>
        <v>0</v>
      </c>
      <c r="Q134" s="43">
        <f t="shared" si="19"/>
        <v>0</v>
      </c>
      <c r="R134" s="68">
        <f t="shared" si="20"/>
        <v>100000</v>
      </c>
      <c r="S134" s="79">
        <f t="shared" si="21"/>
        <v>100000</v>
      </c>
    </row>
    <row r="135" spans="1:20" s="8" customFormat="1" ht="15" customHeight="1" x14ac:dyDescent="0.2">
      <c r="A135" s="12" t="s">
        <v>213</v>
      </c>
      <c r="B135" s="55" t="s">
        <v>151</v>
      </c>
      <c r="C135" s="88">
        <v>90000</v>
      </c>
      <c r="D135" s="37"/>
      <c r="E135" s="37"/>
      <c r="F135" s="113"/>
      <c r="G135" s="37"/>
      <c r="H135" s="37"/>
      <c r="I135" s="37"/>
      <c r="J135" s="37"/>
      <c r="K135" s="37">
        <v>64858.8</v>
      </c>
      <c r="L135" s="37"/>
      <c r="M135" s="37"/>
      <c r="N135" s="37"/>
      <c r="O135" s="149">
        <v>105000</v>
      </c>
      <c r="P135" s="43">
        <f t="shared" si="18"/>
        <v>64858.8</v>
      </c>
      <c r="Q135" s="43">
        <f t="shared" si="19"/>
        <v>169858.8</v>
      </c>
      <c r="R135" s="68">
        <f t="shared" si="20"/>
        <v>-79858.799999999988</v>
      </c>
      <c r="S135" s="79">
        <f t="shared" si="21"/>
        <v>-79858.799999999988</v>
      </c>
      <c r="T135" s="8">
        <v>1475</v>
      </c>
    </row>
    <row r="136" spans="1:20" s="8" customFormat="1" ht="15" customHeight="1" x14ac:dyDescent="0.2">
      <c r="A136" s="12" t="s">
        <v>276</v>
      </c>
      <c r="B136" s="136" t="s">
        <v>151</v>
      </c>
      <c r="C136" s="88"/>
      <c r="D136" s="37"/>
      <c r="E136" s="37"/>
      <c r="F136" s="113"/>
      <c r="G136" s="37"/>
      <c r="H136" s="37"/>
      <c r="I136" s="37"/>
      <c r="J136" s="37"/>
      <c r="K136" s="37"/>
      <c r="L136" s="37"/>
      <c r="M136" s="37"/>
      <c r="N136" s="37"/>
      <c r="O136" s="155">
        <v>100000</v>
      </c>
      <c r="P136" s="43">
        <f t="shared" si="18"/>
        <v>0</v>
      </c>
      <c r="Q136" s="43">
        <f t="shared" si="19"/>
        <v>100000</v>
      </c>
      <c r="R136" s="68"/>
      <c r="S136" s="79">
        <f t="shared" si="21"/>
        <v>0</v>
      </c>
      <c r="T136" s="8">
        <v>10000</v>
      </c>
    </row>
    <row r="137" spans="1:20" s="8" customFormat="1" ht="15" customHeight="1" x14ac:dyDescent="0.2">
      <c r="A137" s="12" t="s">
        <v>215</v>
      </c>
      <c r="B137" s="136" t="s">
        <v>151</v>
      </c>
      <c r="C137" s="88">
        <v>20000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149">
        <v>47000</v>
      </c>
      <c r="P137" s="43">
        <f t="shared" si="18"/>
        <v>0</v>
      </c>
      <c r="Q137" s="43">
        <f t="shared" si="19"/>
        <v>47000</v>
      </c>
      <c r="R137" s="68">
        <f t="shared" ref="R137:R148" si="22">C137-Q137</f>
        <v>-27000</v>
      </c>
      <c r="S137" s="79">
        <f t="shared" si="21"/>
        <v>-27000</v>
      </c>
      <c r="T137" s="8">
        <v>1400</v>
      </c>
    </row>
    <row r="138" spans="1:20" s="7" customFormat="1" ht="15" customHeight="1" x14ac:dyDescent="0.2">
      <c r="A138" s="12" t="s">
        <v>191</v>
      </c>
      <c r="B138" s="55" t="s">
        <v>150</v>
      </c>
      <c r="C138" s="88">
        <v>18000</v>
      </c>
      <c r="D138" s="37"/>
      <c r="E138" s="37"/>
      <c r="F138" s="37"/>
      <c r="G138" s="37"/>
      <c r="H138" s="37"/>
      <c r="I138" s="37"/>
      <c r="J138" s="37"/>
      <c r="K138" s="37">
        <v>10905.76</v>
      </c>
      <c r="L138" s="37">
        <v>7043.3</v>
      </c>
      <c r="M138" s="37">
        <v>1474.19</v>
      </c>
      <c r="N138" s="37"/>
      <c r="O138" s="149">
        <v>0</v>
      </c>
      <c r="P138" s="43">
        <f t="shared" si="18"/>
        <v>19423.25</v>
      </c>
      <c r="Q138" s="43">
        <f t="shared" si="19"/>
        <v>19423.25</v>
      </c>
      <c r="R138" s="68">
        <f t="shared" si="22"/>
        <v>-1423.25</v>
      </c>
      <c r="S138" s="79">
        <f t="shared" si="21"/>
        <v>-1423.25</v>
      </c>
    </row>
    <row r="139" spans="1:20" s="7" customFormat="1" ht="15" customHeight="1" x14ac:dyDescent="0.2">
      <c r="A139" s="12" t="s">
        <v>216</v>
      </c>
      <c r="B139" s="55" t="s">
        <v>151</v>
      </c>
      <c r="C139" s="88">
        <v>15000</v>
      </c>
      <c r="D139" s="37"/>
      <c r="E139" s="37"/>
      <c r="F139" s="37"/>
      <c r="G139" s="37"/>
      <c r="H139" s="37"/>
      <c r="I139" s="37">
        <v>495</v>
      </c>
      <c r="J139" s="37"/>
      <c r="K139" s="37"/>
      <c r="L139" s="37"/>
      <c r="M139" s="37"/>
      <c r="N139" s="37"/>
      <c r="O139" s="149">
        <v>0</v>
      </c>
      <c r="P139" s="43">
        <f t="shared" si="18"/>
        <v>495</v>
      </c>
      <c r="Q139" s="43">
        <f t="shared" si="19"/>
        <v>495</v>
      </c>
      <c r="R139" s="68">
        <f t="shared" si="22"/>
        <v>14505</v>
      </c>
      <c r="S139" s="79">
        <f t="shared" si="21"/>
        <v>14505</v>
      </c>
    </row>
    <row r="140" spans="1:20" s="7" customFormat="1" ht="15" customHeight="1" x14ac:dyDescent="0.2">
      <c r="A140" s="12" t="s">
        <v>217</v>
      </c>
      <c r="B140" s="136" t="s">
        <v>151</v>
      </c>
      <c r="C140" s="88">
        <v>15000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149">
        <v>0</v>
      </c>
      <c r="P140" s="43">
        <f t="shared" si="18"/>
        <v>0</v>
      </c>
      <c r="Q140" s="43">
        <f t="shared" si="19"/>
        <v>0</v>
      </c>
      <c r="R140" s="68">
        <f t="shared" si="22"/>
        <v>15000</v>
      </c>
      <c r="S140" s="79">
        <f t="shared" si="21"/>
        <v>15000</v>
      </c>
    </row>
    <row r="141" spans="1:20" s="7" customFormat="1" ht="15" customHeight="1" x14ac:dyDescent="0.2">
      <c r="A141" s="12" t="s">
        <v>166</v>
      </c>
      <c r="B141" s="55" t="s">
        <v>150</v>
      </c>
      <c r="C141" s="88">
        <v>135000</v>
      </c>
      <c r="D141" s="37"/>
      <c r="E141" s="37">
        <v>0</v>
      </c>
      <c r="F141" s="37">
        <v>-4000</v>
      </c>
      <c r="G141" s="37"/>
      <c r="H141" s="37"/>
      <c r="I141" s="37"/>
      <c r="J141" s="37">
        <v>60330.52</v>
      </c>
      <c r="K141" s="37">
        <v>40182</v>
      </c>
      <c r="L141" s="37">
        <v>2030.61</v>
      </c>
      <c r="M141" s="37">
        <v>40543.42</v>
      </c>
      <c r="N141" s="37"/>
      <c r="O141" s="149">
        <v>0</v>
      </c>
      <c r="P141" s="43">
        <f t="shared" si="18"/>
        <v>139086.54999999999</v>
      </c>
      <c r="Q141" s="43">
        <f t="shared" si="19"/>
        <v>139086.54999999999</v>
      </c>
      <c r="R141" s="68">
        <f t="shared" si="22"/>
        <v>-4086.5499999999884</v>
      </c>
      <c r="S141" s="79">
        <f t="shared" si="21"/>
        <v>-4086.5499999999884</v>
      </c>
    </row>
    <row r="142" spans="1:20" s="7" customFormat="1" ht="15" customHeight="1" x14ac:dyDescent="0.2">
      <c r="A142" s="12" t="s">
        <v>264</v>
      </c>
      <c r="B142" s="136" t="s">
        <v>151</v>
      </c>
      <c r="C142" s="88">
        <v>95000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149">
        <v>36323.699999999997</v>
      </c>
      <c r="P142" s="43">
        <f t="shared" si="18"/>
        <v>0</v>
      </c>
      <c r="Q142" s="43">
        <f t="shared" si="19"/>
        <v>36323.699999999997</v>
      </c>
      <c r="R142" s="68">
        <f t="shared" si="22"/>
        <v>58676.3</v>
      </c>
      <c r="S142" s="79">
        <f t="shared" si="21"/>
        <v>58676.3</v>
      </c>
    </row>
    <row r="143" spans="1:20" s="8" customFormat="1" ht="15" customHeight="1" x14ac:dyDescent="0.2">
      <c r="A143" s="12" t="s">
        <v>83</v>
      </c>
      <c r="B143" s="55" t="s">
        <v>150</v>
      </c>
      <c r="C143" s="88">
        <v>28000</v>
      </c>
      <c r="D143" s="37"/>
      <c r="E143" s="37"/>
      <c r="F143" s="37"/>
      <c r="G143" s="37">
        <v>23474.76</v>
      </c>
      <c r="H143" s="37">
        <v>2597.9</v>
      </c>
      <c r="I143" s="37">
        <v>-189.25</v>
      </c>
      <c r="J143" s="37"/>
      <c r="K143" s="37"/>
      <c r="L143" s="37"/>
      <c r="M143" s="37"/>
      <c r="N143" s="37"/>
      <c r="O143" s="149">
        <v>0</v>
      </c>
      <c r="P143" s="43">
        <f t="shared" si="18"/>
        <v>25883.41</v>
      </c>
      <c r="Q143" s="43">
        <f t="shared" si="19"/>
        <v>25883.41</v>
      </c>
      <c r="R143" s="68">
        <f t="shared" si="22"/>
        <v>2116.59</v>
      </c>
      <c r="S143" s="79">
        <f t="shared" si="21"/>
        <v>2116.59</v>
      </c>
    </row>
    <row r="144" spans="1:20" s="8" customFormat="1" ht="15" customHeight="1" x14ac:dyDescent="0.2">
      <c r="A144" s="12" t="s">
        <v>218</v>
      </c>
      <c r="B144" s="55" t="s">
        <v>151</v>
      </c>
      <c r="C144" s="88">
        <v>35000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149">
        <v>0</v>
      </c>
      <c r="P144" s="43">
        <f t="shared" si="18"/>
        <v>0</v>
      </c>
      <c r="Q144" s="43">
        <f t="shared" si="19"/>
        <v>0</v>
      </c>
      <c r="R144" s="68">
        <f t="shared" si="22"/>
        <v>35000</v>
      </c>
      <c r="S144" s="79">
        <f t="shared" si="21"/>
        <v>35000</v>
      </c>
    </row>
    <row r="145" spans="1:19" s="8" customFormat="1" ht="15" customHeight="1" x14ac:dyDescent="0.2">
      <c r="A145" s="12" t="s">
        <v>219</v>
      </c>
      <c r="B145" s="55" t="s">
        <v>151</v>
      </c>
      <c r="C145" s="88">
        <v>25000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149">
        <v>0</v>
      </c>
      <c r="P145" s="43">
        <f t="shared" si="18"/>
        <v>0</v>
      </c>
      <c r="Q145" s="43">
        <f t="shared" si="19"/>
        <v>0</v>
      </c>
      <c r="R145" s="68">
        <f t="shared" si="22"/>
        <v>25000</v>
      </c>
      <c r="S145" s="79">
        <f t="shared" si="21"/>
        <v>25000</v>
      </c>
    </row>
    <row r="146" spans="1:19" s="8" customFormat="1" ht="15" customHeight="1" x14ac:dyDescent="0.2">
      <c r="A146" s="12" t="s">
        <v>244</v>
      </c>
      <c r="B146" s="55" t="s">
        <v>150</v>
      </c>
      <c r="C146" s="88">
        <v>20000</v>
      </c>
      <c r="D146" s="37"/>
      <c r="E146" s="37"/>
      <c r="F146" s="37"/>
      <c r="G146" s="37">
        <v>14797.6</v>
      </c>
      <c r="H146" s="37">
        <v>4273.79</v>
      </c>
      <c r="I146" s="37"/>
      <c r="J146" s="37"/>
      <c r="K146" s="37"/>
      <c r="L146" s="37"/>
      <c r="M146" s="37"/>
      <c r="N146" s="37"/>
      <c r="O146" s="149">
        <v>0</v>
      </c>
      <c r="P146" s="43">
        <f t="shared" si="18"/>
        <v>19071.39</v>
      </c>
      <c r="Q146" s="43">
        <f t="shared" si="19"/>
        <v>19071.39</v>
      </c>
      <c r="R146" s="68">
        <f t="shared" si="22"/>
        <v>928.61000000000058</v>
      </c>
      <c r="S146" s="79">
        <f t="shared" si="21"/>
        <v>928.61000000000058</v>
      </c>
    </row>
    <row r="147" spans="1:19" s="8" customFormat="1" ht="15" customHeight="1" x14ac:dyDescent="0.2">
      <c r="A147" s="12" t="s">
        <v>233</v>
      </c>
      <c r="B147" s="55" t="s">
        <v>150</v>
      </c>
      <c r="C147" s="88">
        <v>25000</v>
      </c>
      <c r="D147" s="37">
        <v>14121</v>
      </c>
      <c r="E147" s="37">
        <v>3142.81</v>
      </c>
      <c r="F147" s="37">
        <v>160.91</v>
      </c>
      <c r="G147" s="37"/>
      <c r="H147" s="37"/>
      <c r="I147" s="37"/>
      <c r="J147" s="37"/>
      <c r="K147" s="37"/>
      <c r="L147" s="37"/>
      <c r="M147" s="37"/>
      <c r="N147" s="37"/>
      <c r="O147" s="149">
        <v>0</v>
      </c>
      <c r="P147" s="43">
        <f t="shared" si="18"/>
        <v>17424.72</v>
      </c>
      <c r="Q147" s="43">
        <f t="shared" si="19"/>
        <v>17424.72</v>
      </c>
      <c r="R147" s="68">
        <f t="shared" si="22"/>
        <v>7575.2799999999988</v>
      </c>
      <c r="S147" s="79">
        <f t="shared" si="21"/>
        <v>7575.2799999999988</v>
      </c>
    </row>
    <row r="148" spans="1:19" s="8" customFormat="1" ht="15" customHeight="1" x14ac:dyDescent="0.2">
      <c r="A148" s="12" t="s">
        <v>176</v>
      </c>
      <c r="B148" s="55" t="s">
        <v>220</v>
      </c>
      <c r="C148" s="88">
        <v>25000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149">
        <v>0</v>
      </c>
      <c r="P148" s="43">
        <f t="shared" si="18"/>
        <v>0</v>
      </c>
      <c r="Q148" s="43">
        <f t="shared" si="19"/>
        <v>0</v>
      </c>
      <c r="R148" s="68">
        <f t="shared" si="22"/>
        <v>25000</v>
      </c>
      <c r="S148" s="79">
        <f t="shared" si="21"/>
        <v>25000</v>
      </c>
    </row>
    <row r="149" spans="1:19" s="8" customFormat="1" ht="15" customHeight="1" x14ac:dyDescent="0.2">
      <c r="A149" s="12"/>
      <c r="B149" s="55"/>
      <c r="C149" s="88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156"/>
      <c r="P149" s="43">
        <f>SUM(D149:M149)</f>
        <v>0</v>
      </c>
      <c r="Q149" s="43"/>
      <c r="S149" s="79">
        <f t="shared" si="21"/>
        <v>0</v>
      </c>
    </row>
    <row r="150" spans="1:19" s="8" customFormat="1" ht="15" customHeight="1" x14ac:dyDescent="0.2">
      <c r="A150" s="12" t="s">
        <v>167</v>
      </c>
      <c r="B150" s="55" t="s">
        <v>262</v>
      </c>
      <c r="C150" s="88">
        <v>30000</v>
      </c>
      <c r="D150" s="37"/>
      <c r="E150" s="37"/>
      <c r="F150" s="37"/>
      <c r="G150" s="37">
        <v>0</v>
      </c>
      <c r="H150" s="37">
        <v>6301.15</v>
      </c>
      <c r="I150" s="37"/>
      <c r="J150" s="37"/>
      <c r="K150" s="37"/>
      <c r="L150" s="37"/>
      <c r="M150" s="37">
        <v>6607.86</v>
      </c>
      <c r="N150" s="37"/>
      <c r="O150" s="149">
        <v>0</v>
      </c>
      <c r="P150" s="43">
        <f>SUM(D150:N150)</f>
        <v>12909.009999999998</v>
      </c>
      <c r="Q150" s="43">
        <f>SUM(D150:O150)</f>
        <v>12909.009999999998</v>
      </c>
      <c r="R150" s="68">
        <f>C150-Q150</f>
        <v>17090.990000000002</v>
      </c>
      <c r="S150" s="79">
        <f t="shared" si="21"/>
        <v>17090.990000000002</v>
      </c>
    </row>
    <row r="151" spans="1:19" s="8" customFormat="1" ht="15" customHeight="1" x14ac:dyDescent="0.2">
      <c r="A151" s="12" t="s">
        <v>184</v>
      </c>
      <c r="B151" s="55" t="s">
        <v>149</v>
      </c>
      <c r="C151" s="88">
        <v>50000</v>
      </c>
      <c r="D151" s="37"/>
      <c r="E151" s="37"/>
      <c r="F151" s="37"/>
      <c r="G151" s="37"/>
      <c r="H151" s="37">
        <v>21213.599999999999</v>
      </c>
      <c r="I151" s="37">
        <v>1028.53</v>
      </c>
      <c r="J151" s="37"/>
      <c r="K151" s="37"/>
      <c r="L151" s="37"/>
      <c r="M151" s="37"/>
      <c r="N151" s="37"/>
      <c r="O151" s="149">
        <v>0</v>
      </c>
      <c r="P151" s="43">
        <f>SUM(D151:N151)</f>
        <v>22242.129999999997</v>
      </c>
      <c r="Q151" s="43">
        <f>SUM(D151:O151)</f>
        <v>22242.129999999997</v>
      </c>
      <c r="R151" s="68">
        <f>C151-Q151</f>
        <v>27757.870000000003</v>
      </c>
      <c r="S151" s="79">
        <f t="shared" si="21"/>
        <v>27757.870000000003</v>
      </c>
    </row>
    <row r="152" spans="1:19" s="8" customFormat="1" ht="15" customHeight="1" x14ac:dyDescent="0.2">
      <c r="A152" s="12" t="s">
        <v>272</v>
      </c>
      <c r="B152" s="55" t="s">
        <v>149</v>
      </c>
      <c r="C152" s="88">
        <v>25000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>
        <v>7400</v>
      </c>
      <c r="N152" s="37"/>
      <c r="O152" s="149">
        <v>0</v>
      </c>
      <c r="P152" s="43">
        <f>SUM(D152:N152)</f>
        <v>7400</v>
      </c>
      <c r="Q152" s="43">
        <f>SUM(D152:O152)</f>
        <v>7400</v>
      </c>
      <c r="R152" s="68">
        <f>C152-Q152</f>
        <v>17600</v>
      </c>
      <c r="S152" s="79">
        <f t="shared" si="21"/>
        <v>17600</v>
      </c>
    </row>
    <row r="153" spans="1:19" s="8" customFormat="1" ht="15" customHeight="1" x14ac:dyDescent="0.2">
      <c r="A153" s="12" t="s">
        <v>270</v>
      </c>
      <c r="B153" s="55" t="s">
        <v>149</v>
      </c>
      <c r="C153" s="88">
        <v>45000</v>
      </c>
      <c r="D153" s="37"/>
      <c r="E153" s="37"/>
      <c r="F153" s="37"/>
      <c r="G153" s="37"/>
      <c r="H153" s="37"/>
      <c r="I153" s="37"/>
      <c r="J153" s="37"/>
      <c r="K153" s="37"/>
      <c r="L153" s="37">
        <v>44520</v>
      </c>
      <c r="M153" s="37"/>
      <c r="N153" s="37"/>
      <c r="O153" s="149">
        <v>0</v>
      </c>
      <c r="P153" s="43">
        <f>SUM(D153:N153)</f>
        <v>44520</v>
      </c>
      <c r="Q153" s="43">
        <f>SUM(D153:O153)</f>
        <v>44520</v>
      </c>
      <c r="R153" s="68">
        <f>C153-Q153</f>
        <v>480</v>
      </c>
      <c r="S153" s="79">
        <f t="shared" si="21"/>
        <v>480</v>
      </c>
    </row>
    <row r="154" spans="1:19" s="8" customFormat="1" ht="9.75" customHeight="1" x14ac:dyDescent="0.2">
      <c r="A154" s="12"/>
      <c r="B154" s="55"/>
      <c r="C154" s="88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154"/>
      <c r="P154" s="43"/>
      <c r="Q154" s="43"/>
      <c r="R154" s="69"/>
      <c r="S154" s="79">
        <f t="shared" si="21"/>
        <v>0</v>
      </c>
    </row>
    <row r="155" spans="1:19" s="7" customFormat="1" ht="15" customHeight="1" x14ac:dyDescent="0.2">
      <c r="A155" s="12" t="s">
        <v>84</v>
      </c>
      <c r="B155" s="55" t="s">
        <v>95</v>
      </c>
      <c r="C155" s="88">
        <f>108000-45000-25000</f>
        <v>38000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149">
        <v>15000</v>
      </c>
      <c r="P155" s="43">
        <f>SUM(D155:N155)</f>
        <v>0</v>
      </c>
      <c r="Q155" s="38">
        <f>SUM(D155:O155)</f>
        <v>15000</v>
      </c>
      <c r="R155" s="68">
        <f>C155-Q155</f>
        <v>23000</v>
      </c>
      <c r="S155" s="79">
        <f t="shared" si="21"/>
        <v>23000</v>
      </c>
    </row>
    <row r="156" spans="1:19" s="8" customFormat="1" ht="6.95" customHeight="1" x14ac:dyDescent="0.2">
      <c r="A156" s="12"/>
      <c r="B156" s="55"/>
      <c r="C156" s="8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145"/>
      <c r="P156" s="43"/>
      <c r="Q156" s="43"/>
      <c r="S156" s="79">
        <f t="shared" si="21"/>
        <v>0</v>
      </c>
    </row>
    <row r="157" spans="1:19" s="7" customFormat="1" ht="15" customHeight="1" x14ac:dyDescent="0.2">
      <c r="A157" s="15" t="str">
        <f>"TOTAL "&amp;A102</f>
        <v>TOTAL MARKETING/TOURISM PROMOTION</v>
      </c>
      <c r="B157" s="59"/>
      <c r="C157" s="97">
        <f t="shared" ref="C157:O157" si="23">SUM(C104:C155)</f>
        <v>2774000</v>
      </c>
      <c r="D157" s="40">
        <f t="shared" si="23"/>
        <v>18686.43</v>
      </c>
      <c r="E157" s="40">
        <f t="shared" si="23"/>
        <v>117253.26999999999</v>
      </c>
      <c r="F157" s="40">
        <f t="shared" si="23"/>
        <v>79569.060000000012</v>
      </c>
      <c r="G157" s="40">
        <f t="shared" si="23"/>
        <v>52791.859999999993</v>
      </c>
      <c r="H157" s="40">
        <f t="shared" si="23"/>
        <v>47212.5</v>
      </c>
      <c r="I157" s="40">
        <f t="shared" si="23"/>
        <v>286221.24</v>
      </c>
      <c r="J157" s="40">
        <f t="shared" si="23"/>
        <v>252640.72999999998</v>
      </c>
      <c r="K157" s="40">
        <f t="shared" si="23"/>
        <v>190949.13000000003</v>
      </c>
      <c r="L157" s="40">
        <f t="shared" si="23"/>
        <v>100261.15000000001</v>
      </c>
      <c r="M157" s="40">
        <f t="shared" si="23"/>
        <v>272001.76</v>
      </c>
      <c r="N157" s="40">
        <f t="shared" si="23"/>
        <v>14373.810000000001</v>
      </c>
      <c r="O157" s="152">
        <f t="shared" si="23"/>
        <v>697076.87</v>
      </c>
      <c r="P157" s="40">
        <f>SUM(D157:N157)</f>
        <v>1431960.94</v>
      </c>
      <c r="Q157" s="40">
        <f>SUM(Q104:Q155)</f>
        <v>2129037.8099999996</v>
      </c>
      <c r="R157" s="69">
        <f>SUM(R104:R156)</f>
        <v>744962.19</v>
      </c>
      <c r="S157" s="68"/>
    </row>
    <row r="158" spans="1:19" s="7" customFormat="1" ht="6.95" customHeight="1" x14ac:dyDescent="0.2">
      <c r="A158" s="11"/>
      <c r="B158" s="61"/>
      <c r="C158" s="99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153"/>
      <c r="P158" s="41"/>
      <c r="Q158" s="41"/>
      <c r="R158" s="8"/>
    </row>
    <row r="159" spans="1:19" s="7" customFormat="1" ht="18" customHeight="1" x14ac:dyDescent="0.2">
      <c r="A159" s="171" t="s">
        <v>85</v>
      </c>
      <c r="B159" s="171"/>
      <c r="C159" s="171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  <c r="R159" s="8"/>
    </row>
    <row r="160" spans="1:19" s="7" customFormat="1" ht="6.95" customHeight="1" x14ac:dyDescent="0.2">
      <c r="A160" s="10"/>
      <c r="B160" s="58"/>
      <c r="C160" s="96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148"/>
      <c r="P160" s="36"/>
      <c r="Q160" s="36"/>
      <c r="R160" s="27"/>
    </row>
    <row r="161" spans="1:20" s="8" customFormat="1" ht="15" customHeight="1" x14ac:dyDescent="0.2">
      <c r="A161" s="12" t="s">
        <v>86</v>
      </c>
      <c r="B161" s="55" t="s">
        <v>148</v>
      </c>
      <c r="C161" s="88">
        <v>53000</v>
      </c>
      <c r="D161" s="37"/>
      <c r="E161" s="37"/>
      <c r="F161" s="37">
        <f>5724+5289.4</f>
        <v>11013.4</v>
      </c>
      <c r="G161" s="37">
        <f>1335.6</f>
        <v>1335.6</v>
      </c>
      <c r="H161" s="37"/>
      <c r="I161" s="37"/>
      <c r="J161" s="37">
        <v>2279</v>
      </c>
      <c r="K161" s="37">
        <v>4006.8</v>
      </c>
      <c r="L161" s="37">
        <v>3752.4</v>
      </c>
      <c r="M161" s="37">
        <v>4028</v>
      </c>
      <c r="N161" s="37">
        <v>8904</v>
      </c>
      <c r="O161" s="149">
        <v>0</v>
      </c>
      <c r="P161" s="43">
        <f t="shared" ref="P161:P192" si="24">SUM(D161:N161)</f>
        <v>35319.199999999997</v>
      </c>
      <c r="Q161" s="43">
        <f t="shared" ref="Q161:Q192" si="25">SUM(D161:O161)</f>
        <v>35319.199999999997</v>
      </c>
      <c r="R161" s="84">
        <f t="shared" ref="R161:R192" si="26">C161-Q161</f>
        <v>17680.800000000003</v>
      </c>
      <c r="S161" s="79">
        <f>R161/2</f>
        <v>8840.4000000000015</v>
      </c>
    </row>
    <row r="162" spans="1:20" s="8" customFormat="1" ht="15" customHeight="1" x14ac:dyDescent="0.2">
      <c r="A162" s="12" t="s">
        <v>87</v>
      </c>
      <c r="B162" s="55" t="s">
        <v>152</v>
      </c>
      <c r="C162" s="88">
        <v>84800</v>
      </c>
      <c r="D162" s="37">
        <v>150</v>
      </c>
      <c r="E162" s="37">
        <v>360</v>
      </c>
      <c r="F162" s="37">
        <v>11361.47</v>
      </c>
      <c r="G162" s="37">
        <v>159</v>
      </c>
      <c r="H162" s="114">
        <v>3600</v>
      </c>
      <c r="I162" s="114">
        <v>686.24</v>
      </c>
      <c r="J162" s="114">
        <v>680</v>
      </c>
      <c r="K162" s="132">
        <v>21131.54</v>
      </c>
      <c r="L162" s="132">
        <v>1800</v>
      </c>
      <c r="M162" s="132">
        <v>4829.34</v>
      </c>
      <c r="N162" s="132">
        <v>2600</v>
      </c>
      <c r="O162" s="151">
        <f>3600+1720</f>
        <v>5320</v>
      </c>
      <c r="P162" s="43">
        <f t="shared" si="24"/>
        <v>47357.59</v>
      </c>
      <c r="Q162" s="43">
        <f t="shared" si="25"/>
        <v>52677.59</v>
      </c>
      <c r="R162" s="84">
        <f t="shared" si="26"/>
        <v>32122.410000000003</v>
      </c>
      <c r="S162" s="79">
        <f t="shared" ref="S162:S193" si="27">R162/2</f>
        <v>16061.205000000002</v>
      </c>
    </row>
    <row r="163" spans="1:20" s="8" customFormat="1" ht="15" customHeight="1" x14ac:dyDescent="0.2">
      <c r="A163" s="12" t="s">
        <v>88</v>
      </c>
      <c r="B163" s="55" t="s">
        <v>153</v>
      </c>
      <c r="C163" s="88">
        <v>53000</v>
      </c>
      <c r="D163" s="37"/>
      <c r="E163" s="37"/>
      <c r="F163" s="37"/>
      <c r="G163" s="37">
        <v>3370</v>
      </c>
      <c r="H163" s="37">
        <v>6755</v>
      </c>
      <c r="I163" s="37">
        <v>1250</v>
      </c>
      <c r="J163" s="37">
        <v>1250</v>
      </c>
      <c r="K163" s="37">
        <v>1250</v>
      </c>
      <c r="L163" s="37">
        <v>1590</v>
      </c>
      <c r="M163" s="37">
        <v>9750</v>
      </c>
      <c r="N163" s="37">
        <v>1250</v>
      </c>
      <c r="O163" s="149">
        <v>9750</v>
      </c>
      <c r="P163" s="43">
        <f t="shared" si="24"/>
        <v>26465</v>
      </c>
      <c r="Q163" s="43">
        <f t="shared" si="25"/>
        <v>36215</v>
      </c>
      <c r="R163" s="84">
        <f t="shared" si="26"/>
        <v>16785</v>
      </c>
      <c r="S163" s="79">
        <f t="shared" si="27"/>
        <v>8392.5</v>
      </c>
      <c r="T163" s="8">
        <v>-1250</v>
      </c>
    </row>
    <row r="164" spans="1:20" s="8" customFormat="1" ht="15" customHeight="1" x14ac:dyDescent="0.2">
      <c r="A164" s="12" t="s">
        <v>181</v>
      </c>
      <c r="B164" s="55" t="s">
        <v>181</v>
      </c>
      <c r="C164" s="88">
        <v>84800</v>
      </c>
      <c r="D164" s="37"/>
      <c r="E164" s="37"/>
      <c r="F164" s="37"/>
      <c r="G164" s="37">
        <v>24380</v>
      </c>
      <c r="H164" s="37">
        <v>0</v>
      </c>
      <c r="I164" s="37"/>
      <c r="J164" s="37"/>
      <c r="K164" s="37"/>
      <c r="L164" s="37"/>
      <c r="M164" s="37"/>
      <c r="N164" s="37"/>
      <c r="O164" s="149">
        <v>54012</v>
      </c>
      <c r="P164" s="43">
        <f t="shared" si="24"/>
        <v>24380</v>
      </c>
      <c r="Q164" s="43">
        <f t="shared" si="25"/>
        <v>78392</v>
      </c>
      <c r="R164" s="84">
        <f t="shared" si="26"/>
        <v>6408</v>
      </c>
      <c r="S164" s="79">
        <f t="shared" si="27"/>
        <v>3204</v>
      </c>
    </row>
    <row r="165" spans="1:20" s="8" customFormat="1" ht="18" customHeight="1" x14ac:dyDescent="0.2">
      <c r="A165" s="25" t="s">
        <v>221</v>
      </c>
      <c r="B165" s="62" t="s">
        <v>154</v>
      </c>
      <c r="C165" s="100">
        <v>27000</v>
      </c>
      <c r="D165" s="37"/>
      <c r="E165" s="37">
        <v>0</v>
      </c>
      <c r="F165" s="37">
        <v>13282.5</v>
      </c>
      <c r="G165" s="37"/>
      <c r="H165" s="37"/>
      <c r="I165" s="37"/>
      <c r="J165" s="37">
        <v>2649.5</v>
      </c>
      <c r="K165" s="37">
        <v>415.4</v>
      </c>
      <c r="L165" s="37"/>
      <c r="M165" s="37">
        <v>13282.5</v>
      </c>
      <c r="N165" s="37">
        <v>850</v>
      </c>
      <c r="O165" s="149">
        <v>0</v>
      </c>
      <c r="P165" s="43">
        <f t="shared" si="24"/>
        <v>30479.9</v>
      </c>
      <c r="Q165" s="43">
        <f t="shared" si="25"/>
        <v>30479.9</v>
      </c>
      <c r="R165" s="84">
        <f t="shared" si="26"/>
        <v>-3479.9000000000015</v>
      </c>
      <c r="S165" s="79">
        <f t="shared" si="27"/>
        <v>-1739.9500000000007</v>
      </c>
    </row>
    <row r="166" spans="1:20" s="8" customFormat="1" ht="18" customHeight="1" x14ac:dyDescent="0.2">
      <c r="A166" s="25" t="s">
        <v>267</v>
      </c>
      <c r="B166" s="62" t="s">
        <v>267</v>
      </c>
      <c r="C166" s="100">
        <v>0</v>
      </c>
      <c r="D166" s="37"/>
      <c r="E166" s="37"/>
      <c r="F166" s="37"/>
      <c r="G166" s="37"/>
      <c r="H166" s="37"/>
      <c r="I166" s="37"/>
      <c r="J166" s="37"/>
      <c r="K166" s="37"/>
      <c r="L166" s="37">
        <v>3180</v>
      </c>
      <c r="M166" s="37">
        <v>3180</v>
      </c>
      <c r="N166" s="37"/>
      <c r="O166" s="149">
        <v>0</v>
      </c>
      <c r="P166" s="43">
        <f t="shared" si="24"/>
        <v>6360</v>
      </c>
      <c r="Q166" s="43">
        <f t="shared" si="25"/>
        <v>6360</v>
      </c>
      <c r="R166" s="84">
        <f t="shared" si="26"/>
        <v>-6360</v>
      </c>
      <c r="S166" s="79">
        <f t="shared" si="27"/>
        <v>-3180</v>
      </c>
    </row>
    <row r="167" spans="1:20" s="8" customFormat="1" ht="16.5" customHeight="1" x14ac:dyDescent="0.2">
      <c r="A167" s="25" t="s">
        <v>168</v>
      </c>
      <c r="B167" s="62" t="s">
        <v>123</v>
      </c>
      <c r="C167" s="100">
        <v>636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>
        <v>634.94000000000005</v>
      </c>
      <c r="O167" s="149">
        <v>0</v>
      </c>
      <c r="P167" s="43">
        <f t="shared" si="24"/>
        <v>634.94000000000005</v>
      </c>
      <c r="Q167" s="43">
        <f t="shared" si="25"/>
        <v>634.94000000000005</v>
      </c>
      <c r="R167" s="84">
        <f t="shared" si="26"/>
        <v>1.0599999999999454</v>
      </c>
      <c r="S167" s="79">
        <f t="shared" si="27"/>
        <v>0.52999999999997272</v>
      </c>
    </row>
    <row r="168" spans="1:20" s="8" customFormat="1" ht="15" customHeight="1" x14ac:dyDescent="0.2">
      <c r="A168" s="12" t="s">
        <v>89</v>
      </c>
      <c r="B168" s="55" t="s">
        <v>155</v>
      </c>
      <c r="C168" s="88">
        <v>84800</v>
      </c>
      <c r="D168" s="37"/>
      <c r="E168" s="37">
        <v>9540</v>
      </c>
      <c r="F168" s="37">
        <v>0</v>
      </c>
      <c r="G168" s="37">
        <v>23620.82</v>
      </c>
      <c r="H168" s="37">
        <v>166.47</v>
      </c>
      <c r="I168" s="37">
        <v>10000</v>
      </c>
      <c r="J168" s="37">
        <v>12813.05</v>
      </c>
      <c r="K168" s="37">
        <v>14040</v>
      </c>
      <c r="L168" s="37">
        <v>9964</v>
      </c>
      <c r="M168" s="37">
        <v>23386.33</v>
      </c>
      <c r="N168" s="37"/>
      <c r="O168" s="149">
        <v>28860</v>
      </c>
      <c r="P168" s="43">
        <f t="shared" si="24"/>
        <v>103530.67</v>
      </c>
      <c r="Q168" s="43">
        <f t="shared" si="25"/>
        <v>132390.66999999998</v>
      </c>
      <c r="R168" s="84">
        <f t="shared" si="26"/>
        <v>-47590.669999999984</v>
      </c>
      <c r="S168" s="79">
        <f t="shared" si="27"/>
        <v>-23795.334999999992</v>
      </c>
    </row>
    <row r="169" spans="1:20" s="8" customFormat="1" ht="15" customHeight="1" x14ac:dyDescent="0.2">
      <c r="A169" s="12" t="s">
        <v>90</v>
      </c>
      <c r="B169" s="55" t="s">
        <v>261</v>
      </c>
      <c r="C169" s="88">
        <v>53000</v>
      </c>
      <c r="D169" s="37"/>
      <c r="E169" s="37">
        <v>3180</v>
      </c>
      <c r="F169" s="37">
        <v>3561.6</v>
      </c>
      <c r="G169" s="37">
        <v>159</v>
      </c>
      <c r="H169" s="37">
        <v>742</v>
      </c>
      <c r="I169" s="37"/>
      <c r="J169" s="37"/>
      <c r="K169" s="37">
        <v>275.60000000000002</v>
      </c>
      <c r="L169" s="37"/>
      <c r="M169" s="37"/>
      <c r="N169" s="37">
        <v>2257.8000000000002</v>
      </c>
      <c r="O169" s="149">
        <v>2200</v>
      </c>
      <c r="P169" s="43">
        <f t="shared" si="24"/>
        <v>10176</v>
      </c>
      <c r="Q169" s="43">
        <f t="shared" si="25"/>
        <v>12376</v>
      </c>
      <c r="R169" s="84">
        <f t="shared" si="26"/>
        <v>40624</v>
      </c>
      <c r="S169" s="79">
        <f t="shared" si="27"/>
        <v>20312</v>
      </c>
    </row>
    <row r="170" spans="1:20" s="8" customFormat="1" ht="15" customHeight="1" x14ac:dyDescent="0.2">
      <c r="A170" s="12" t="s">
        <v>268</v>
      </c>
      <c r="B170" s="55" t="s">
        <v>156</v>
      </c>
      <c r="C170" s="88">
        <v>450000</v>
      </c>
      <c r="D170" s="37"/>
      <c r="E170" s="37"/>
      <c r="F170" s="37"/>
      <c r="G170" s="37"/>
      <c r="H170" s="37"/>
      <c r="I170" s="37"/>
      <c r="J170" s="37"/>
      <c r="K170" s="37"/>
      <c r="L170" s="37">
        <v>45583.23</v>
      </c>
      <c r="M170" s="37"/>
      <c r="N170" s="37"/>
      <c r="O170" s="149"/>
      <c r="P170" s="43">
        <f t="shared" si="24"/>
        <v>45583.23</v>
      </c>
      <c r="Q170" s="43">
        <f t="shared" si="25"/>
        <v>45583.23</v>
      </c>
      <c r="R170" s="84">
        <f t="shared" si="26"/>
        <v>404416.77</v>
      </c>
      <c r="S170" s="79">
        <f t="shared" si="27"/>
        <v>202208.38500000001</v>
      </c>
    </row>
    <row r="171" spans="1:20" s="8" customFormat="1" ht="15" customHeight="1" x14ac:dyDescent="0.2">
      <c r="A171" s="12" t="s">
        <v>91</v>
      </c>
      <c r="B171" s="55" t="s">
        <v>156</v>
      </c>
      <c r="C171" s="88">
        <v>350000</v>
      </c>
      <c r="D171" s="37"/>
      <c r="E171" s="37"/>
      <c r="F171" s="37"/>
      <c r="G171" s="37"/>
      <c r="H171" s="37"/>
      <c r="I171" s="37">
        <v>78061.48</v>
      </c>
      <c r="J171" s="37">
        <v>238242.09</v>
      </c>
      <c r="K171" s="37"/>
      <c r="L171" s="37"/>
      <c r="M171" s="37">
        <v>61194.96</v>
      </c>
      <c r="N171" s="37"/>
      <c r="O171" s="149"/>
      <c r="P171" s="43">
        <f t="shared" si="24"/>
        <v>377498.53</v>
      </c>
      <c r="Q171" s="43">
        <f t="shared" si="25"/>
        <v>377498.53</v>
      </c>
      <c r="R171" s="84">
        <f t="shared" si="26"/>
        <v>-27498.530000000028</v>
      </c>
      <c r="S171" s="79">
        <f t="shared" si="27"/>
        <v>-13749.265000000014</v>
      </c>
    </row>
    <row r="172" spans="1:20" s="8" customFormat="1" ht="15" customHeight="1" x14ac:dyDescent="0.2">
      <c r="A172" s="12" t="s">
        <v>275</v>
      </c>
      <c r="B172" s="55" t="s">
        <v>156</v>
      </c>
      <c r="C172" s="88">
        <v>150000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149">
        <f>390000</f>
        <v>390000</v>
      </c>
      <c r="P172" s="43">
        <f t="shared" si="24"/>
        <v>0</v>
      </c>
      <c r="Q172" s="43">
        <f t="shared" si="25"/>
        <v>390000</v>
      </c>
      <c r="R172" s="84">
        <f t="shared" si="26"/>
        <v>-240000</v>
      </c>
      <c r="S172" s="79">
        <f t="shared" si="27"/>
        <v>-120000</v>
      </c>
    </row>
    <row r="173" spans="1:20" s="8" customFormat="1" ht="15" customHeight="1" x14ac:dyDescent="0.2">
      <c r="A173" s="12" t="s">
        <v>222</v>
      </c>
      <c r="B173" s="55" t="s">
        <v>156</v>
      </c>
      <c r="C173" s="88">
        <v>200000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149">
        <v>0</v>
      </c>
      <c r="P173" s="43">
        <f t="shared" si="24"/>
        <v>0</v>
      </c>
      <c r="Q173" s="43">
        <f t="shared" si="25"/>
        <v>0</v>
      </c>
      <c r="R173" s="84">
        <f t="shared" si="26"/>
        <v>200000</v>
      </c>
      <c r="S173" s="79">
        <f t="shared" si="27"/>
        <v>100000</v>
      </c>
    </row>
    <row r="174" spans="1:20" s="8" customFormat="1" ht="15" customHeight="1" x14ac:dyDescent="0.2">
      <c r="A174" s="12" t="s">
        <v>223</v>
      </c>
      <c r="B174" s="55" t="s">
        <v>156</v>
      </c>
      <c r="C174" s="88">
        <v>100000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149">
        <v>0</v>
      </c>
      <c r="P174" s="43">
        <f t="shared" si="24"/>
        <v>0</v>
      </c>
      <c r="Q174" s="43">
        <f t="shared" si="25"/>
        <v>0</v>
      </c>
      <c r="R174" s="84">
        <f t="shared" si="26"/>
        <v>100000</v>
      </c>
      <c r="S174" s="79">
        <f t="shared" si="27"/>
        <v>50000</v>
      </c>
    </row>
    <row r="175" spans="1:20" s="8" customFormat="1" ht="15" customHeight="1" x14ac:dyDescent="0.2">
      <c r="A175" s="12" t="s">
        <v>224</v>
      </c>
      <c r="B175" s="55" t="s">
        <v>156</v>
      </c>
      <c r="C175" s="88">
        <v>100000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149">
        <v>0</v>
      </c>
      <c r="P175" s="43">
        <f t="shared" si="24"/>
        <v>0</v>
      </c>
      <c r="Q175" s="43">
        <f t="shared" si="25"/>
        <v>0</v>
      </c>
      <c r="R175" s="84">
        <f t="shared" si="26"/>
        <v>100000</v>
      </c>
      <c r="S175" s="79">
        <f t="shared" si="27"/>
        <v>50000</v>
      </c>
    </row>
    <row r="176" spans="1:20" s="8" customFormat="1" ht="15" customHeight="1" x14ac:dyDescent="0.2">
      <c r="A176" s="12" t="s">
        <v>225</v>
      </c>
      <c r="B176" s="55" t="s">
        <v>156</v>
      </c>
      <c r="C176" s="88">
        <v>150000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149">
        <v>0</v>
      </c>
      <c r="P176" s="43">
        <f t="shared" si="24"/>
        <v>0</v>
      </c>
      <c r="Q176" s="43">
        <f t="shared" si="25"/>
        <v>0</v>
      </c>
      <c r="R176" s="84">
        <f t="shared" si="26"/>
        <v>150000</v>
      </c>
      <c r="S176" s="79">
        <f t="shared" si="27"/>
        <v>75000</v>
      </c>
    </row>
    <row r="177" spans="1:20" s="8" customFormat="1" ht="15" customHeight="1" x14ac:dyDescent="0.2">
      <c r="A177" s="12" t="s">
        <v>226</v>
      </c>
      <c r="B177" s="55" t="s">
        <v>156</v>
      </c>
      <c r="C177" s="88">
        <v>100000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149">
        <v>0</v>
      </c>
      <c r="P177" s="43">
        <f t="shared" si="24"/>
        <v>0</v>
      </c>
      <c r="Q177" s="43">
        <f t="shared" si="25"/>
        <v>0</v>
      </c>
      <c r="R177" s="84">
        <f t="shared" si="26"/>
        <v>100000</v>
      </c>
      <c r="S177" s="79">
        <f t="shared" si="27"/>
        <v>50000</v>
      </c>
    </row>
    <row r="178" spans="1:20" s="8" customFormat="1" ht="15" customHeight="1" x14ac:dyDescent="0.2">
      <c r="A178" s="12" t="s">
        <v>239</v>
      </c>
      <c r="B178" s="55" t="s">
        <v>156</v>
      </c>
      <c r="C178" s="88">
        <v>150000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149">
        <v>0</v>
      </c>
      <c r="P178" s="43">
        <f t="shared" si="24"/>
        <v>0</v>
      </c>
      <c r="Q178" s="43">
        <f t="shared" si="25"/>
        <v>0</v>
      </c>
      <c r="R178" s="84">
        <f t="shared" si="26"/>
        <v>150000</v>
      </c>
      <c r="S178" s="79">
        <f t="shared" si="27"/>
        <v>75000</v>
      </c>
    </row>
    <row r="179" spans="1:20" s="8" customFormat="1" ht="15" customHeight="1" x14ac:dyDescent="0.2">
      <c r="A179" s="26" t="s">
        <v>189</v>
      </c>
      <c r="B179" s="63" t="s">
        <v>157</v>
      </c>
      <c r="C179" s="101">
        <v>100000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>
        <v>43400</v>
      </c>
      <c r="N179" s="37">
        <v>16508.52</v>
      </c>
      <c r="O179" s="149">
        <v>32013.200000000001</v>
      </c>
      <c r="P179" s="43">
        <f t="shared" si="24"/>
        <v>59908.520000000004</v>
      </c>
      <c r="Q179" s="43">
        <f t="shared" si="25"/>
        <v>91921.72</v>
      </c>
      <c r="R179" s="84">
        <f t="shared" si="26"/>
        <v>8078.2799999999988</v>
      </c>
      <c r="S179" s="79">
        <f t="shared" si="27"/>
        <v>4039.1399999999994</v>
      </c>
    </row>
    <row r="180" spans="1:20" s="8" customFormat="1" ht="15" customHeight="1" x14ac:dyDescent="0.2">
      <c r="A180" s="12" t="s">
        <v>227</v>
      </c>
      <c r="B180" s="63" t="s">
        <v>157</v>
      </c>
      <c r="C180" s="88">
        <v>100000</v>
      </c>
      <c r="D180" s="37"/>
      <c r="E180" s="37"/>
      <c r="F180" s="37"/>
      <c r="G180" s="37">
        <v>0</v>
      </c>
      <c r="H180" s="37">
        <v>12025</v>
      </c>
      <c r="I180" s="37">
        <v>22260</v>
      </c>
      <c r="J180" s="37">
        <v>64833.9</v>
      </c>
      <c r="K180" s="37"/>
      <c r="L180" s="37"/>
      <c r="M180" s="37"/>
      <c r="N180" s="37"/>
      <c r="O180" s="149">
        <v>0</v>
      </c>
      <c r="P180" s="43">
        <f t="shared" si="24"/>
        <v>99118.9</v>
      </c>
      <c r="Q180" s="43">
        <f t="shared" si="25"/>
        <v>99118.9</v>
      </c>
      <c r="R180" s="84">
        <f t="shared" si="26"/>
        <v>881.10000000000582</v>
      </c>
      <c r="S180" s="79">
        <f t="shared" si="27"/>
        <v>440.55000000000291</v>
      </c>
    </row>
    <row r="181" spans="1:20" s="8" customFormat="1" ht="15" customHeight="1" x14ac:dyDescent="0.2">
      <c r="A181" s="12" t="s">
        <v>188</v>
      </c>
      <c r="B181" s="55" t="s">
        <v>157</v>
      </c>
      <c r="C181" s="88">
        <v>15000</v>
      </c>
      <c r="D181" s="37"/>
      <c r="E181" s="37">
        <v>0</v>
      </c>
      <c r="F181" s="37">
        <v>500</v>
      </c>
      <c r="G181" s="37">
        <v>0</v>
      </c>
      <c r="H181" s="37">
        <v>6952</v>
      </c>
      <c r="I181" s="37">
        <v>4223.04</v>
      </c>
      <c r="J181" s="37"/>
      <c r="K181" s="37"/>
      <c r="L181" s="37"/>
      <c r="M181" s="37"/>
      <c r="N181" s="37"/>
      <c r="O181" s="149">
        <v>0</v>
      </c>
      <c r="P181" s="43">
        <f t="shared" si="24"/>
        <v>11675.04</v>
      </c>
      <c r="Q181" s="43">
        <f t="shared" si="25"/>
        <v>11675.04</v>
      </c>
      <c r="R181" s="117">
        <f t="shared" si="26"/>
        <v>3324.9599999999991</v>
      </c>
      <c r="S181" s="79">
        <f t="shared" si="27"/>
        <v>1662.4799999999996</v>
      </c>
    </row>
    <row r="182" spans="1:20" s="8" customFormat="1" ht="15" customHeight="1" x14ac:dyDescent="0.2">
      <c r="A182" s="12" t="s">
        <v>234</v>
      </c>
      <c r="B182" s="55" t="s">
        <v>157</v>
      </c>
      <c r="C182" s="88">
        <v>100000</v>
      </c>
      <c r="D182" s="37">
        <v>16501</v>
      </c>
      <c r="E182" s="37">
        <v>3570.61</v>
      </c>
      <c r="F182" s="37">
        <v>25855.82</v>
      </c>
      <c r="G182" s="37">
        <v>3165.16</v>
      </c>
      <c r="H182" s="37">
        <v>3800</v>
      </c>
      <c r="I182" s="37">
        <v>0</v>
      </c>
      <c r="J182" s="37"/>
      <c r="K182" s="37"/>
      <c r="L182" s="37"/>
      <c r="M182" s="37"/>
      <c r="N182" s="37">
        <v>1050</v>
      </c>
      <c r="O182" s="149">
        <v>46057.41</v>
      </c>
      <c r="P182" s="43">
        <f t="shared" si="24"/>
        <v>53942.59</v>
      </c>
      <c r="Q182" s="43">
        <f t="shared" si="25"/>
        <v>100000</v>
      </c>
      <c r="R182" s="84">
        <f t="shared" si="26"/>
        <v>0</v>
      </c>
      <c r="S182" s="79">
        <f t="shared" si="27"/>
        <v>0</v>
      </c>
      <c r="T182" s="8">
        <v>-10000</v>
      </c>
    </row>
    <row r="183" spans="1:20" s="8" customFormat="1" ht="15" customHeight="1" x14ac:dyDescent="0.2">
      <c r="A183" s="12" t="s">
        <v>228</v>
      </c>
      <c r="B183" s="55" t="s">
        <v>157</v>
      </c>
      <c r="C183" s="88">
        <v>50000</v>
      </c>
      <c r="D183" s="37"/>
      <c r="E183" s="37"/>
      <c r="F183" s="37"/>
      <c r="G183" s="37">
        <v>0</v>
      </c>
      <c r="H183" s="37">
        <v>8670.7999999999993</v>
      </c>
      <c r="I183" s="37">
        <v>22260</v>
      </c>
      <c r="J183" s="37">
        <v>17935.2</v>
      </c>
      <c r="K183" s="37"/>
      <c r="L183" s="37"/>
      <c r="M183" s="37"/>
      <c r="N183" s="37"/>
      <c r="O183" s="149">
        <v>0</v>
      </c>
      <c r="P183" s="43">
        <f t="shared" si="24"/>
        <v>48866</v>
      </c>
      <c r="Q183" s="43">
        <f t="shared" si="25"/>
        <v>48866</v>
      </c>
      <c r="R183" s="84">
        <f t="shared" si="26"/>
        <v>1134</v>
      </c>
      <c r="S183" s="79">
        <f t="shared" si="27"/>
        <v>567</v>
      </c>
    </row>
    <row r="184" spans="1:20" s="8" customFormat="1" ht="15" customHeight="1" x14ac:dyDescent="0.2">
      <c r="A184" s="12" t="s">
        <v>229</v>
      </c>
      <c r="B184" s="55" t="s">
        <v>157</v>
      </c>
      <c r="C184" s="88">
        <v>100000</v>
      </c>
      <c r="D184" s="37"/>
      <c r="E184" s="37"/>
      <c r="F184" s="37"/>
      <c r="G184" s="37">
        <v>0</v>
      </c>
      <c r="H184" s="37">
        <v>14384.2</v>
      </c>
      <c r="I184" s="37">
        <v>22260</v>
      </c>
      <c r="J184" s="37">
        <v>54968.86</v>
      </c>
      <c r="K184" s="37"/>
      <c r="L184" s="37"/>
      <c r="M184" s="37"/>
      <c r="N184" s="37"/>
      <c r="O184" s="149">
        <v>0</v>
      </c>
      <c r="P184" s="43">
        <f t="shared" si="24"/>
        <v>91613.06</v>
      </c>
      <c r="Q184" s="43">
        <f t="shared" si="25"/>
        <v>91613.06</v>
      </c>
      <c r="R184" s="84">
        <f t="shared" si="26"/>
        <v>8386.9400000000023</v>
      </c>
      <c r="S184" s="79">
        <f t="shared" si="27"/>
        <v>4193.4700000000012</v>
      </c>
    </row>
    <row r="185" spans="1:20" s="8" customFormat="1" ht="15" customHeight="1" x14ac:dyDescent="0.2">
      <c r="A185" s="12" t="s">
        <v>242</v>
      </c>
      <c r="B185" s="55" t="s">
        <v>157</v>
      </c>
      <c r="C185" s="88">
        <v>200000</v>
      </c>
      <c r="D185" s="37"/>
      <c r="E185" s="37"/>
      <c r="F185" s="37">
        <v>1500</v>
      </c>
      <c r="G185" s="37">
        <v>13387.8</v>
      </c>
      <c r="H185" s="37">
        <v>24223.52</v>
      </c>
      <c r="I185" s="37">
        <v>1088.5999999999999</v>
      </c>
      <c r="J185" s="37">
        <v>59916.4</v>
      </c>
      <c r="K185" s="37">
        <v>1780.8</v>
      </c>
      <c r="L185" s="37">
        <v>21430</v>
      </c>
      <c r="M185" s="37">
        <v>26823.599999999999</v>
      </c>
      <c r="N185" s="37">
        <v>21889</v>
      </c>
      <c r="O185" s="149">
        <v>0</v>
      </c>
      <c r="P185" s="43">
        <f t="shared" si="24"/>
        <v>172039.72</v>
      </c>
      <c r="Q185" s="43">
        <f t="shared" si="25"/>
        <v>172039.72</v>
      </c>
      <c r="R185" s="84">
        <f t="shared" si="26"/>
        <v>27960.28</v>
      </c>
      <c r="S185" s="79">
        <f>R185/2</f>
        <v>13980.14</v>
      </c>
    </row>
    <row r="186" spans="1:20" s="8" customFormat="1" ht="15" customHeight="1" x14ac:dyDescent="0.2">
      <c r="A186" s="12" t="s">
        <v>230</v>
      </c>
      <c r="B186" s="55" t="s">
        <v>157</v>
      </c>
      <c r="C186" s="88">
        <v>50000</v>
      </c>
      <c r="D186" s="37"/>
      <c r="E186" s="37"/>
      <c r="F186" s="37"/>
      <c r="G186" s="37"/>
      <c r="H186" s="37"/>
      <c r="I186" s="37"/>
      <c r="J186" s="37"/>
      <c r="K186" s="37">
        <v>322.25</v>
      </c>
      <c r="L186" s="37">
        <v>466.4</v>
      </c>
      <c r="M186" s="37"/>
      <c r="N186" s="37"/>
      <c r="O186" s="149">
        <v>0</v>
      </c>
      <c r="P186" s="43">
        <f t="shared" si="24"/>
        <v>788.65</v>
      </c>
      <c r="Q186" s="43">
        <f t="shared" si="25"/>
        <v>788.65</v>
      </c>
      <c r="R186" s="84">
        <f t="shared" si="26"/>
        <v>49211.35</v>
      </c>
      <c r="S186" s="79">
        <f t="shared" si="27"/>
        <v>24605.674999999999</v>
      </c>
    </row>
    <row r="187" spans="1:20" s="8" customFormat="1" ht="15" customHeight="1" x14ac:dyDescent="0.2">
      <c r="A187" s="12" t="s">
        <v>250</v>
      </c>
      <c r="B187" s="55" t="s">
        <v>157</v>
      </c>
      <c r="C187" s="88">
        <v>50000</v>
      </c>
      <c r="D187" s="37"/>
      <c r="E187" s="37"/>
      <c r="F187" s="37"/>
      <c r="G187" s="37"/>
      <c r="H187" s="37"/>
      <c r="I187" s="37"/>
      <c r="J187" s="37">
        <v>684.45</v>
      </c>
      <c r="K187" s="37">
        <v>212</v>
      </c>
      <c r="L187" s="37">
        <v>13725.2</v>
      </c>
      <c r="M187" s="37">
        <v>160</v>
      </c>
      <c r="N187" s="37"/>
      <c r="O187" s="149">
        <v>0</v>
      </c>
      <c r="P187" s="43">
        <f t="shared" si="24"/>
        <v>14781.650000000001</v>
      </c>
      <c r="Q187" s="43">
        <f t="shared" si="25"/>
        <v>14781.650000000001</v>
      </c>
      <c r="R187" s="84">
        <f t="shared" si="26"/>
        <v>35218.35</v>
      </c>
      <c r="S187" s="79">
        <f t="shared" si="27"/>
        <v>17609.174999999999</v>
      </c>
    </row>
    <row r="188" spans="1:20" s="8" customFormat="1" ht="15" customHeight="1" x14ac:dyDescent="0.2">
      <c r="A188" s="12" t="s">
        <v>195</v>
      </c>
      <c r="B188" s="55" t="s">
        <v>158</v>
      </c>
      <c r="C188" s="88">
        <v>250000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149"/>
      <c r="P188" s="43">
        <f t="shared" si="24"/>
        <v>0</v>
      </c>
      <c r="Q188" s="43">
        <f t="shared" si="25"/>
        <v>0</v>
      </c>
      <c r="R188" s="84">
        <f t="shared" si="26"/>
        <v>250000</v>
      </c>
      <c r="S188" s="79">
        <f t="shared" si="27"/>
        <v>125000</v>
      </c>
    </row>
    <row r="189" spans="1:20" s="8" customFormat="1" ht="15" customHeight="1" x14ac:dyDescent="0.2">
      <c r="A189" s="12" t="s">
        <v>92</v>
      </c>
      <c r="B189" s="55" t="s">
        <v>158</v>
      </c>
      <c r="C189" s="88">
        <v>127200</v>
      </c>
      <c r="D189" s="37">
        <v>0</v>
      </c>
      <c r="E189" s="37">
        <v>11220</v>
      </c>
      <c r="F189" s="37">
        <v>11310</v>
      </c>
      <c r="G189" s="37">
        <v>7510</v>
      </c>
      <c r="H189" s="37">
        <v>7510</v>
      </c>
      <c r="I189" s="37"/>
      <c r="J189" s="37">
        <v>12720</v>
      </c>
      <c r="K189" s="37">
        <v>9010</v>
      </c>
      <c r="L189" s="37">
        <v>9010</v>
      </c>
      <c r="M189" s="37">
        <v>9010</v>
      </c>
      <c r="N189" s="37">
        <v>18020</v>
      </c>
      <c r="O189" s="149">
        <v>18020</v>
      </c>
      <c r="P189" s="43">
        <f t="shared" si="24"/>
        <v>95320</v>
      </c>
      <c r="Q189" s="43">
        <f t="shared" si="25"/>
        <v>113340</v>
      </c>
      <c r="R189" s="84">
        <f t="shared" si="26"/>
        <v>13860</v>
      </c>
      <c r="S189" s="79">
        <f t="shared" si="27"/>
        <v>6930</v>
      </c>
    </row>
    <row r="190" spans="1:20" s="8" customFormat="1" ht="15" customHeight="1" x14ac:dyDescent="0.2">
      <c r="A190" s="12" t="s">
        <v>93</v>
      </c>
      <c r="B190" s="55" t="s">
        <v>159</v>
      </c>
      <c r="C190" s="88">
        <v>80000</v>
      </c>
      <c r="D190" s="37">
        <v>7719.63</v>
      </c>
      <c r="E190" s="37">
        <v>3735.05</v>
      </c>
      <c r="F190" s="37">
        <v>0</v>
      </c>
      <c r="G190" s="37">
        <v>0</v>
      </c>
      <c r="H190" s="37">
        <v>8767.6299999999992</v>
      </c>
      <c r="I190" s="37">
        <v>2870.97</v>
      </c>
      <c r="J190" s="37">
        <v>6773.46</v>
      </c>
      <c r="K190" s="37"/>
      <c r="L190" s="37">
        <v>2000.83</v>
      </c>
      <c r="M190" s="37">
        <v>17009.45</v>
      </c>
      <c r="N190" s="37">
        <v>6403.7</v>
      </c>
      <c r="O190" s="149">
        <v>24719.279999999999</v>
      </c>
      <c r="P190" s="43">
        <f t="shared" si="24"/>
        <v>55280.72</v>
      </c>
      <c r="Q190" s="43">
        <f t="shared" si="25"/>
        <v>80000</v>
      </c>
      <c r="R190" s="84">
        <f t="shared" si="26"/>
        <v>0</v>
      </c>
      <c r="S190" s="79">
        <f>R190/1</f>
        <v>0</v>
      </c>
    </row>
    <row r="191" spans="1:20" s="8" customFormat="1" ht="25.5" x14ac:dyDescent="0.2">
      <c r="A191" s="25" t="s">
        <v>94</v>
      </c>
      <c r="B191" s="62" t="s">
        <v>160</v>
      </c>
      <c r="C191" s="100">
        <v>250000</v>
      </c>
      <c r="D191" s="37"/>
      <c r="E191" s="37">
        <v>0</v>
      </c>
      <c r="F191" s="37">
        <v>42908.800000000003</v>
      </c>
      <c r="G191" s="37"/>
      <c r="H191" s="37"/>
      <c r="I191" s="37"/>
      <c r="J191" s="37"/>
      <c r="K191" s="37"/>
      <c r="L191" s="37">
        <v>111194.92</v>
      </c>
      <c r="M191" s="37"/>
      <c r="N191" s="37">
        <v>20438.919999999998</v>
      </c>
      <c r="O191" s="149">
        <v>75457.359999999986</v>
      </c>
      <c r="P191" s="43">
        <f t="shared" si="24"/>
        <v>174542.64</v>
      </c>
      <c r="Q191" s="43">
        <f t="shared" si="25"/>
        <v>250000</v>
      </c>
      <c r="R191" s="84">
        <f t="shared" si="26"/>
        <v>0</v>
      </c>
      <c r="S191" s="79">
        <f t="shared" si="27"/>
        <v>0</v>
      </c>
    </row>
    <row r="192" spans="1:20" s="8" customFormat="1" ht="15" customHeight="1" x14ac:dyDescent="0.2">
      <c r="A192" s="12" t="s">
        <v>95</v>
      </c>
      <c r="B192" s="55" t="s">
        <v>95</v>
      </c>
      <c r="C192" s="88">
        <v>13000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149">
        <v>5000</v>
      </c>
      <c r="P192" s="43">
        <f t="shared" si="24"/>
        <v>0</v>
      </c>
      <c r="Q192" s="43">
        <f t="shared" si="25"/>
        <v>5000</v>
      </c>
      <c r="R192" s="84">
        <f t="shared" si="26"/>
        <v>8000</v>
      </c>
      <c r="S192" s="79">
        <f t="shared" si="27"/>
        <v>4000</v>
      </c>
    </row>
    <row r="193" spans="1:20" s="8" customFormat="1" ht="6.95" customHeight="1" x14ac:dyDescent="0.2">
      <c r="A193" s="12"/>
      <c r="B193" s="55"/>
      <c r="C193" s="8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145"/>
      <c r="P193" s="38"/>
      <c r="Q193" s="38"/>
      <c r="S193" s="79">
        <f t="shared" si="27"/>
        <v>0</v>
      </c>
    </row>
    <row r="194" spans="1:20" s="7" customFormat="1" ht="15" customHeight="1" x14ac:dyDescent="0.2">
      <c r="A194" s="15" t="str">
        <f>"TOTAL "&amp;A159</f>
        <v>TOTAL COMMUNICATIONS</v>
      </c>
      <c r="B194" s="59"/>
      <c r="C194" s="97">
        <f>SUM(C161:C193)</f>
        <v>3676236</v>
      </c>
      <c r="D194" s="40">
        <f t="shared" ref="D194:N194" si="28">SUM(D161:D192)</f>
        <v>24370.63</v>
      </c>
      <c r="E194" s="40">
        <f t="shared" si="28"/>
        <v>31605.66</v>
      </c>
      <c r="F194" s="40">
        <f t="shared" si="28"/>
        <v>121293.59</v>
      </c>
      <c r="G194" s="40">
        <f t="shared" si="28"/>
        <v>77087.38</v>
      </c>
      <c r="H194" s="40">
        <f t="shared" si="28"/>
        <v>97596.62000000001</v>
      </c>
      <c r="I194" s="40">
        <f t="shared" si="28"/>
        <v>164960.33000000002</v>
      </c>
      <c r="J194" s="40">
        <f t="shared" si="28"/>
        <v>475745.91000000003</v>
      </c>
      <c r="K194" s="40">
        <f t="shared" si="28"/>
        <v>52444.390000000007</v>
      </c>
      <c r="L194" s="40">
        <f t="shared" si="28"/>
        <v>223696.97999999998</v>
      </c>
      <c r="M194" s="40">
        <f t="shared" si="28"/>
        <v>216054.18000000002</v>
      </c>
      <c r="N194" s="40">
        <f t="shared" si="28"/>
        <v>100806.88</v>
      </c>
      <c r="O194" s="152">
        <f>SUM(O161:O192)</f>
        <v>691409.25</v>
      </c>
      <c r="P194" s="40">
        <f>SUM(D194:N194)</f>
        <v>1585662.5500000003</v>
      </c>
      <c r="Q194" s="40">
        <f>SUM(Q161:Q192)</f>
        <v>2277071.7999999998</v>
      </c>
      <c r="R194" s="69">
        <f>SUM(R161:R193)</f>
        <v>1399164.2000000002</v>
      </c>
    </row>
    <row r="195" spans="1:20" s="7" customFormat="1" ht="6.95" customHeight="1" x14ac:dyDescent="0.2">
      <c r="A195" s="11"/>
      <c r="B195" s="61"/>
      <c r="C195" s="99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153"/>
      <c r="P195" s="41"/>
      <c r="Q195" s="41"/>
      <c r="R195" s="8"/>
    </row>
    <row r="196" spans="1:20" s="7" customFormat="1" ht="18" customHeight="1" x14ac:dyDescent="0.2">
      <c r="A196" s="171" t="s">
        <v>96</v>
      </c>
      <c r="B196" s="171"/>
      <c r="C196" s="171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  <c r="Q196" s="172"/>
      <c r="R196" s="8"/>
    </row>
    <row r="197" spans="1:20" s="7" customFormat="1" ht="6.95" customHeight="1" x14ac:dyDescent="0.2">
      <c r="A197" s="10"/>
      <c r="B197" s="58"/>
      <c r="C197" s="96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148"/>
      <c r="P197" s="36"/>
      <c r="Q197" s="36"/>
      <c r="R197" s="8"/>
    </row>
    <row r="198" spans="1:20" s="8" customFormat="1" ht="15" customHeight="1" x14ac:dyDescent="0.2">
      <c r="A198" s="12" t="s">
        <v>97</v>
      </c>
      <c r="B198" s="55" t="s">
        <v>149</v>
      </c>
      <c r="C198" s="88">
        <v>50000</v>
      </c>
      <c r="D198" s="42">
        <v>0</v>
      </c>
      <c r="E198" s="42"/>
      <c r="F198" s="42"/>
      <c r="G198" s="42">
        <v>5300</v>
      </c>
      <c r="H198" s="42">
        <v>0</v>
      </c>
      <c r="I198" s="42"/>
      <c r="J198" s="42"/>
      <c r="K198" s="42"/>
      <c r="L198" s="42"/>
      <c r="M198" s="42"/>
      <c r="N198" s="42"/>
      <c r="O198" s="157">
        <v>0</v>
      </c>
      <c r="P198" s="43">
        <f t="shared" ref="P198:P206" si="29">SUM(D198:N198)</f>
        <v>5300</v>
      </c>
      <c r="Q198" s="43">
        <f t="shared" ref="Q198:Q206" si="30">SUM(D198:O198)</f>
        <v>5300</v>
      </c>
      <c r="R198" s="68">
        <f t="shared" ref="R198:R206" si="31">C198-Q198</f>
        <v>44700</v>
      </c>
      <c r="S198" s="79">
        <f>R198/2</f>
        <v>22350</v>
      </c>
    </row>
    <row r="199" spans="1:20" s="8" customFormat="1" ht="15" customHeight="1" x14ac:dyDescent="0.2">
      <c r="A199" s="12" t="s">
        <v>98</v>
      </c>
      <c r="B199" s="55" t="s">
        <v>149</v>
      </c>
      <c r="C199" s="88">
        <v>180000</v>
      </c>
      <c r="D199" s="42">
        <v>689</v>
      </c>
      <c r="E199" s="42">
        <v>0</v>
      </c>
      <c r="F199" s="42">
        <v>5717.42</v>
      </c>
      <c r="G199" s="42">
        <v>22242.34</v>
      </c>
      <c r="H199" s="42">
        <v>13161.67</v>
      </c>
      <c r="I199" s="42">
        <v>14168.67</v>
      </c>
      <c r="J199" s="42">
        <v>11200.67</v>
      </c>
      <c r="K199" s="42">
        <v>7129.22</v>
      </c>
      <c r="L199" s="42"/>
      <c r="M199" s="42">
        <v>2809</v>
      </c>
      <c r="N199" s="42">
        <v>4862.2</v>
      </c>
      <c r="O199" s="157">
        <v>11000</v>
      </c>
      <c r="P199" s="43">
        <f t="shared" si="29"/>
        <v>81980.19</v>
      </c>
      <c r="Q199" s="43">
        <f t="shared" si="30"/>
        <v>92980.19</v>
      </c>
      <c r="R199" s="68">
        <f t="shared" si="31"/>
        <v>87019.81</v>
      </c>
      <c r="S199" s="79">
        <f t="shared" ref="S199:S207" si="32">R199/2</f>
        <v>43509.904999999999</v>
      </c>
    </row>
    <row r="200" spans="1:20" s="8" customFormat="1" ht="15" customHeight="1" x14ac:dyDescent="0.2">
      <c r="A200" s="12" t="s">
        <v>99</v>
      </c>
      <c r="B200" s="55" t="s">
        <v>149</v>
      </c>
      <c r="C200" s="88">
        <v>30000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157">
        <v>0</v>
      </c>
      <c r="P200" s="43">
        <f t="shared" si="29"/>
        <v>0</v>
      </c>
      <c r="Q200" s="43">
        <f t="shared" si="30"/>
        <v>0</v>
      </c>
      <c r="R200" s="68">
        <f t="shared" si="31"/>
        <v>30000</v>
      </c>
      <c r="S200" s="79">
        <f t="shared" si="32"/>
        <v>15000</v>
      </c>
    </row>
    <row r="201" spans="1:20" s="8" customFormat="1" ht="15" customHeight="1" x14ac:dyDescent="0.2">
      <c r="A201" s="12" t="s">
        <v>169</v>
      </c>
      <c r="B201" s="55" t="s">
        <v>149</v>
      </c>
      <c r="C201" s="88">
        <v>700000</v>
      </c>
      <c r="D201" s="42"/>
      <c r="E201" s="42"/>
      <c r="F201" s="42"/>
      <c r="G201" s="42">
        <v>0</v>
      </c>
      <c r="H201" s="42">
        <v>457207.98</v>
      </c>
      <c r="I201" s="42">
        <v>6606.82</v>
      </c>
      <c r="J201" s="42">
        <v>496.21</v>
      </c>
      <c r="K201" s="42"/>
      <c r="L201" s="42">
        <v>-22913.48</v>
      </c>
      <c r="M201" s="42">
        <v>107349.8</v>
      </c>
      <c r="N201" s="42">
        <v>1266</v>
      </c>
      <c r="O201" s="157">
        <v>0</v>
      </c>
      <c r="P201" s="43">
        <f t="shared" si="29"/>
        <v>550013.33000000007</v>
      </c>
      <c r="Q201" s="43">
        <f t="shared" si="30"/>
        <v>550013.33000000007</v>
      </c>
      <c r="R201" s="68">
        <f t="shared" si="31"/>
        <v>149986.66999999993</v>
      </c>
      <c r="S201" s="79">
        <f t="shared" si="32"/>
        <v>74993.334999999963</v>
      </c>
      <c r="T201" s="80"/>
    </row>
    <row r="202" spans="1:20" s="7" customFormat="1" ht="15" customHeight="1" x14ac:dyDescent="0.2">
      <c r="A202" s="12" t="s">
        <v>100</v>
      </c>
      <c r="B202" s="55" t="s">
        <v>149</v>
      </c>
      <c r="C202" s="88">
        <v>930000</v>
      </c>
      <c r="D202" s="42">
        <v>708537.91</v>
      </c>
      <c r="E202" s="42">
        <v>57076.7</v>
      </c>
      <c r="F202" s="42">
        <v>76010.92</v>
      </c>
      <c r="G202" s="42">
        <v>77</v>
      </c>
      <c r="H202" s="86">
        <v>7736.33</v>
      </c>
      <c r="I202" s="86">
        <v>13879.32</v>
      </c>
      <c r="J202" s="86"/>
      <c r="K202" s="86"/>
      <c r="L202" s="86"/>
      <c r="M202" s="86"/>
      <c r="N202" s="86"/>
      <c r="O202" s="158">
        <v>0</v>
      </c>
      <c r="P202" s="43">
        <f t="shared" si="29"/>
        <v>863318.17999999993</v>
      </c>
      <c r="Q202" s="43">
        <f t="shared" si="30"/>
        <v>863318.17999999993</v>
      </c>
      <c r="R202" s="68">
        <f t="shared" si="31"/>
        <v>66681.820000000065</v>
      </c>
      <c r="S202" s="79">
        <f t="shared" si="32"/>
        <v>33340.910000000033</v>
      </c>
    </row>
    <row r="203" spans="1:20" s="7" customFormat="1" ht="15" customHeight="1" x14ac:dyDescent="0.2">
      <c r="A203" s="112" t="s">
        <v>235</v>
      </c>
      <c r="B203" s="55" t="s">
        <v>149</v>
      </c>
      <c r="C203" s="88"/>
      <c r="D203" s="42">
        <v>-75000</v>
      </c>
      <c r="E203" s="42"/>
      <c r="F203" s="42"/>
      <c r="G203" s="42"/>
      <c r="H203" s="86"/>
      <c r="I203" s="86"/>
      <c r="J203" s="86"/>
      <c r="K203" s="86"/>
      <c r="L203" s="86"/>
      <c r="M203" s="86"/>
      <c r="N203" s="86"/>
      <c r="O203" s="158">
        <v>0</v>
      </c>
      <c r="P203" s="43">
        <f t="shared" si="29"/>
        <v>-75000</v>
      </c>
      <c r="Q203" s="43">
        <f t="shared" si="30"/>
        <v>-75000</v>
      </c>
      <c r="R203" s="68">
        <f t="shared" si="31"/>
        <v>75000</v>
      </c>
      <c r="S203" s="79">
        <f t="shared" si="32"/>
        <v>37500</v>
      </c>
    </row>
    <row r="204" spans="1:20" s="7" customFormat="1" ht="15" customHeight="1" x14ac:dyDescent="0.2">
      <c r="A204" s="12" t="s">
        <v>199</v>
      </c>
      <c r="B204" s="55" t="s">
        <v>149</v>
      </c>
      <c r="C204" s="88">
        <v>70000</v>
      </c>
      <c r="D204" s="42"/>
      <c r="E204" s="42">
        <v>0</v>
      </c>
      <c r="F204" s="42">
        <v>13780</v>
      </c>
      <c r="G204" s="42">
        <v>3870</v>
      </c>
      <c r="H204" s="86">
        <v>9322.8700000000008</v>
      </c>
      <c r="I204" s="86">
        <v>15060</v>
      </c>
      <c r="J204" s="86"/>
      <c r="K204" s="86"/>
      <c r="L204" s="86"/>
      <c r="M204" s="86"/>
      <c r="N204" s="86"/>
      <c r="O204" s="158">
        <v>78745</v>
      </c>
      <c r="P204" s="43">
        <f t="shared" si="29"/>
        <v>42032.87</v>
      </c>
      <c r="Q204" s="43">
        <f t="shared" si="30"/>
        <v>120777.87</v>
      </c>
      <c r="R204" s="68">
        <f t="shared" si="31"/>
        <v>-50777.869999999995</v>
      </c>
      <c r="S204" s="79">
        <f t="shared" si="32"/>
        <v>-25388.934999999998</v>
      </c>
    </row>
    <row r="205" spans="1:20" s="7" customFormat="1" ht="15" customHeight="1" x14ac:dyDescent="0.2">
      <c r="A205" s="12" t="s">
        <v>101</v>
      </c>
      <c r="B205" s="55" t="s">
        <v>149</v>
      </c>
      <c r="C205" s="88">
        <v>4000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>
        <v>3100</v>
      </c>
      <c r="O205" s="158">
        <v>0</v>
      </c>
      <c r="P205" s="43">
        <f t="shared" si="29"/>
        <v>3100</v>
      </c>
      <c r="Q205" s="43">
        <f t="shared" si="30"/>
        <v>3100</v>
      </c>
      <c r="R205" s="68">
        <f t="shared" si="31"/>
        <v>900</v>
      </c>
      <c r="S205" s="79">
        <f t="shared" si="32"/>
        <v>450</v>
      </c>
    </row>
    <row r="206" spans="1:20" s="8" customFormat="1" ht="15" customHeight="1" x14ac:dyDescent="0.2">
      <c r="A206" s="12" t="s">
        <v>252</v>
      </c>
      <c r="B206" s="55" t="s">
        <v>150</v>
      </c>
      <c r="C206" s="88">
        <v>30000</v>
      </c>
      <c r="D206" s="42"/>
      <c r="E206" s="42"/>
      <c r="F206" s="42"/>
      <c r="G206" s="42"/>
      <c r="H206" s="42">
        <v>0</v>
      </c>
      <c r="I206" s="42"/>
      <c r="J206" s="42">
        <v>12206.14</v>
      </c>
      <c r="K206" s="42">
        <v>4021</v>
      </c>
      <c r="L206" s="42"/>
      <c r="M206" s="42"/>
      <c r="N206" s="42"/>
      <c r="O206" s="157">
        <v>0</v>
      </c>
      <c r="P206" s="43">
        <f t="shared" si="29"/>
        <v>16227.14</v>
      </c>
      <c r="Q206" s="43">
        <f t="shared" si="30"/>
        <v>16227.14</v>
      </c>
      <c r="R206" s="68">
        <f t="shared" si="31"/>
        <v>13772.86</v>
      </c>
      <c r="S206" s="79">
        <f t="shared" si="32"/>
        <v>6886.43</v>
      </c>
    </row>
    <row r="207" spans="1:20" s="7" customFormat="1" ht="6.95" customHeight="1" x14ac:dyDescent="0.2">
      <c r="A207" s="13"/>
      <c r="B207" s="55"/>
      <c r="C207" s="88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145"/>
      <c r="P207" s="43"/>
      <c r="Q207" s="33"/>
      <c r="R207" s="8"/>
      <c r="S207" s="79">
        <f t="shared" si="32"/>
        <v>0</v>
      </c>
    </row>
    <row r="208" spans="1:20" s="8" customFormat="1" ht="15" customHeight="1" x14ac:dyDescent="0.2">
      <c r="A208" s="16" t="str">
        <f>"TOTAL "&amp;A196</f>
        <v>TOTAL EVENTS</v>
      </c>
      <c r="B208" s="59"/>
      <c r="C208" s="97">
        <f>SUM(C198:C207)</f>
        <v>1994000</v>
      </c>
      <c r="D208" s="40">
        <f>SUM(D198:D206)</f>
        <v>634226.91</v>
      </c>
      <c r="E208" s="40">
        <f t="shared" ref="E208:R208" si="33">SUM(E198:E206)</f>
        <v>57076.7</v>
      </c>
      <c r="F208" s="40">
        <f t="shared" si="33"/>
        <v>95508.34</v>
      </c>
      <c r="G208" s="40">
        <f t="shared" si="33"/>
        <v>31489.34</v>
      </c>
      <c r="H208" s="40">
        <f t="shared" si="33"/>
        <v>487428.85</v>
      </c>
      <c r="I208" s="40">
        <f t="shared" si="33"/>
        <v>49714.81</v>
      </c>
      <c r="J208" s="40">
        <f t="shared" si="33"/>
        <v>23903.019999999997</v>
      </c>
      <c r="K208" s="40">
        <f>SUM(K198:K206)</f>
        <v>11150.220000000001</v>
      </c>
      <c r="L208" s="40">
        <f t="shared" si="33"/>
        <v>-22913.48</v>
      </c>
      <c r="M208" s="40">
        <f t="shared" si="33"/>
        <v>110158.8</v>
      </c>
      <c r="N208" s="40">
        <f t="shared" si="33"/>
        <v>9228.2000000000007</v>
      </c>
      <c r="O208" s="152">
        <f>SUM(O198:O206)</f>
        <v>89745</v>
      </c>
      <c r="P208" s="40">
        <f>SUM(D208:N208)</f>
        <v>1486971.71</v>
      </c>
      <c r="Q208" s="40">
        <f t="shared" si="33"/>
        <v>1576716.7099999997</v>
      </c>
      <c r="R208" s="126">
        <f t="shared" si="33"/>
        <v>417283.29</v>
      </c>
      <c r="S208" s="7"/>
    </row>
    <row r="209" spans="1:20" s="7" customFormat="1" ht="6.95" customHeight="1" x14ac:dyDescent="0.2">
      <c r="A209" s="11"/>
      <c r="B209" s="61"/>
      <c r="C209" s="99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153"/>
      <c r="P209" s="41"/>
      <c r="Q209" s="41"/>
      <c r="R209" s="8"/>
    </row>
    <row r="210" spans="1:20" s="7" customFormat="1" ht="18" customHeight="1" x14ac:dyDescent="0.2">
      <c r="A210" s="171" t="s">
        <v>102</v>
      </c>
      <c r="B210" s="171"/>
      <c r="C210" s="171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8"/>
    </row>
    <row r="211" spans="1:20" s="7" customFormat="1" ht="6.95" customHeight="1" x14ac:dyDescent="0.2">
      <c r="A211" s="10"/>
      <c r="B211" s="58"/>
      <c r="C211" s="96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148"/>
      <c r="P211" s="36"/>
      <c r="Q211" s="36"/>
      <c r="R211" s="8"/>
    </row>
    <row r="212" spans="1:20" s="8" customFormat="1" ht="15" customHeight="1" x14ac:dyDescent="0.2">
      <c r="A212" s="12" t="s">
        <v>103</v>
      </c>
      <c r="B212" s="55" t="s">
        <v>161</v>
      </c>
      <c r="C212" s="88">
        <v>150000</v>
      </c>
      <c r="D212" s="37"/>
      <c r="E212" s="37">
        <v>0</v>
      </c>
      <c r="F212" s="37">
        <v>7754</v>
      </c>
      <c r="G212" s="37">
        <v>11005.4</v>
      </c>
      <c r="H212" s="37">
        <v>49504</v>
      </c>
      <c r="I212" s="37">
        <v>51.2</v>
      </c>
      <c r="J212" s="37">
        <v>13340.8</v>
      </c>
      <c r="K212" s="37"/>
      <c r="L212" s="37">
        <v>-17</v>
      </c>
      <c r="M212" s="37">
        <v>21621.35</v>
      </c>
      <c r="N212" s="37">
        <v>6901.98</v>
      </c>
      <c r="O212" s="149">
        <v>30799</v>
      </c>
      <c r="P212" s="43">
        <f t="shared" ref="P212:P228" si="34">SUM(D212:N212)</f>
        <v>110161.73</v>
      </c>
      <c r="Q212" s="43">
        <f t="shared" ref="Q212:Q229" si="35">SUM(D212:O212)</f>
        <v>140960.72999999998</v>
      </c>
      <c r="R212" s="68">
        <f t="shared" ref="R212:R228" si="36">C212-Q212</f>
        <v>9039.2700000000186</v>
      </c>
      <c r="S212" s="79">
        <f>R212/2</f>
        <v>4519.6350000000093</v>
      </c>
    </row>
    <row r="213" spans="1:20" s="8" customFormat="1" ht="15" customHeight="1" x14ac:dyDescent="0.2">
      <c r="A213" s="12" t="s">
        <v>104</v>
      </c>
      <c r="B213" s="55" t="s">
        <v>149</v>
      </c>
      <c r="C213" s="88">
        <v>22000</v>
      </c>
      <c r="D213" s="37">
        <v>732</v>
      </c>
      <c r="E213" s="37">
        <v>900</v>
      </c>
      <c r="F213" s="37">
        <v>2160</v>
      </c>
      <c r="G213" s="37">
        <v>1260</v>
      </c>
      <c r="H213" s="37">
        <v>2340</v>
      </c>
      <c r="I213" s="37">
        <v>180</v>
      </c>
      <c r="J213" s="37">
        <v>2610</v>
      </c>
      <c r="K213" s="37">
        <v>1710</v>
      </c>
      <c r="L213" s="37">
        <v>1260</v>
      </c>
      <c r="M213" s="37">
        <v>1440</v>
      </c>
      <c r="N213" s="37">
        <v>810</v>
      </c>
      <c r="O213" s="149">
        <v>4000</v>
      </c>
      <c r="P213" s="43">
        <f t="shared" si="34"/>
        <v>15402</v>
      </c>
      <c r="Q213" s="43">
        <f t="shared" si="35"/>
        <v>19402</v>
      </c>
      <c r="R213" s="68">
        <f t="shared" si="36"/>
        <v>2598</v>
      </c>
      <c r="S213" s="79">
        <f t="shared" ref="S213:S228" si="37">R213/2</f>
        <v>1299</v>
      </c>
    </row>
    <row r="214" spans="1:20" s="8" customFormat="1" ht="15" customHeight="1" x14ac:dyDescent="0.2">
      <c r="A214" s="12" t="s">
        <v>77</v>
      </c>
      <c r="B214" s="55" t="s">
        <v>149</v>
      </c>
      <c r="C214" s="88">
        <v>144000</v>
      </c>
      <c r="D214" s="37">
        <v>7228.34</v>
      </c>
      <c r="E214" s="37">
        <v>9620</v>
      </c>
      <c r="F214" s="37">
        <v>17727.05</v>
      </c>
      <c r="G214" s="37">
        <v>23355.86</v>
      </c>
      <c r="H214" s="37">
        <v>1360</v>
      </c>
      <c r="I214" s="37">
        <v>5960</v>
      </c>
      <c r="J214" s="37">
        <v>15112.68</v>
      </c>
      <c r="K214" s="37"/>
      <c r="L214" s="37"/>
      <c r="M214" s="37">
        <v>3360</v>
      </c>
      <c r="N214" s="37">
        <v>5720</v>
      </c>
      <c r="O214" s="149">
        <v>60400</v>
      </c>
      <c r="P214" s="43">
        <f t="shared" si="34"/>
        <v>89443.93</v>
      </c>
      <c r="Q214" s="43">
        <f t="shared" si="35"/>
        <v>149843.93</v>
      </c>
      <c r="R214" s="68">
        <f t="shared" si="36"/>
        <v>-5843.929999999993</v>
      </c>
      <c r="S214" s="79">
        <f t="shared" si="37"/>
        <v>-2921.9649999999965</v>
      </c>
    </row>
    <row r="215" spans="1:20" s="8" customFormat="1" ht="15" customHeight="1" x14ac:dyDescent="0.2">
      <c r="A215" s="12" t="s">
        <v>231</v>
      </c>
      <c r="B215" s="55" t="s">
        <v>149</v>
      </c>
      <c r="C215" s="88">
        <v>20000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149">
        <v>0</v>
      </c>
      <c r="P215" s="43">
        <f t="shared" si="34"/>
        <v>0</v>
      </c>
      <c r="Q215" s="43">
        <f t="shared" si="35"/>
        <v>0</v>
      </c>
      <c r="R215" s="68">
        <f t="shared" si="36"/>
        <v>20000</v>
      </c>
      <c r="S215" s="79">
        <f t="shared" si="37"/>
        <v>10000</v>
      </c>
    </row>
    <row r="216" spans="1:20" s="8" customFormat="1" ht="15" customHeight="1" x14ac:dyDescent="0.2">
      <c r="A216" s="12" t="s">
        <v>105</v>
      </c>
      <c r="B216" s="55" t="s">
        <v>148</v>
      </c>
      <c r="C216" s="88">
        <v>60000</v>
      </c>
      <c r="D216" s="37"/>
      <c r="E216" s="37"/>
      <c r="F216" s="37">
        <v>9275</v>
      </c>
      <c r="G216" s="37">
        <v>0</v>
      </c>
      <c r="H216" s="37">
        <v>4240</v>
      </c>
      <c r="I216" s="37">
        <v>9275</v>
      </c>
      <c r="J216" s="37"/>
      <c r="K216" s="37"/>
      <c r="L216" s="37"/>
      <c r="M216" s="37"/>
      <c r="N216" s="37">
        <v>14023.8</v>
      </c>
      <c r="O216" s="149"/>
      <c r="P216" s="43">
        <f t="shared" si="34"/>
        <v>36813.800000000003</v>
      </c>
      <c r="Q216" s="43">
        <f t="shared" si="35"/>
        <v>36813.800000000003</v>
      </c>
      <c r="R216" s="79">
        <f t="shared" si="36"/>
        <v>23186.199999999997</v>
      </c>
      <c r="S216" s="79">
        <f t="shared" si="37"/>
        <v>11593.099999999999</v>
      </c>
      <c r="T216" s="69"/>
    </row>
    <row r="217" spans="1:20" s="8" customFormat="1" ht="15" customHeight="1" x14ac:dyDescent="0.2">
      <c r="A217" s="12" t="s">
        <v>106</v>
      </c>
      <c r="B217" s="55" t="s">
        <v>148</v>
      </c>
      <c r="C217" s="88">
        <v>40000</v>
      </c>
      <c r="D217" s="37"/>
      <c r="E217" s="37"/>
      <c r="F217" s="37"/>
      <c r="G217" s="37">
        <v>614.79999999999995</v>
      </c>
      <c r="H217" s="37">
        <v>2438</v>
      </c>
      <c r="I217" s="37"/>
      <c r="J217" s="37"/>
      <c r="K217" s="37"/>
      <c r="L217" s="37"/>
      <c r="M217" s="37"/>
      <c r="N217" s="37"/>
      <c r="O217" s="149">
        <v>9582.4</v>
      </c>
      <c r="P217" s="43">
        <f t="shared" si="34"/>
        <v>3052.8</v>
      </c>
      <c r="Q217" s="43">
        <f t="shared" si="35"/>
        <v>12635.2</v>
      </c>
      <c r="R217" s="68">
        <f t="shared" si="36"/>
        <v>27364.799999999999</v>
      </c>
      <c r="S217" s="79">
        <f t="shared" si="37"/>
        <v>13682.4</v>
      </c>
    </row>
    <row r="218" spans="1:20" s="8" customFormat="1" ht="15" customHeight="1" x14ac:dyDescent="0.2">
      <c r="A218" s="12" t="s">
        <v>107</v>
      </c>
      <c r="B218" s="55" t="s">
        <v>148</v>
      </c>
      <c r="C218" s="88">
        <v>33000</v>
      </c>
      <c r="D218" s="37"/>
      <c r="E218" s="37"/>
      <c r="F218" s="37"/>
      <c r="G218" s="37">
        <v>0</v>
      </c>
      <c r="H218" s="37">
        <v>6042</v>
      </c>
      <c r="I218" s="37"/>
      <c r="J218" s="37"/>
      <c r="K218" s="37">
        <v>6042</v>
      </c>
      <c r="L218" s="37"/>
      <c r="M218" s="37"/>
      <c r="N218" s="37">
        <v>6042</v>
      </c>
      <c r="O218" s="149">
        <v>0</v>
      </c>
      <c r="P218" s="43">
        <f t="shared" si="34"/>
        <v>18126</v>
      </c>
      <c r="Q218" s="43">
        <f t="shared" si="35"/>
        <v>18126</v>
      </c>
      <c r="R218" s="68">
        <f t="shared" si="36"/>
        <v>14874</v>
      </c>
      <c r="S218" s="79">
        <f t="shared" si="37"/>
        <v>7437</v>
      </c>
    </row>
    <row r="219" spans="1:20" s="8" customFormat="1" ht="15" customHeight="1" x14ac:dyDescent="0.2">
      <c r="A219" s="12" t="s">
        <v>108</v>
      </c>
      <c r="B219" s="55" t="s">
        <v>148</v>
      </c>
      <c r="C219" s="88">
        <v>33000</v>
      </c>
      <c r="D219" s="37"/>
      <c r="E219" s="37"/>
      <c r="F219" s="37">
        <v>6784</v>
      </c>
      <c r="G219" s="37"/>
      <c r="H219" s="37"/>
      <c r="I219" s="37"/>
      <c r="J219" s="37"/>
      <c r="K219" s="37">
        <v>11044.14</v>
      </c>
      <c r="L219" s="37"/>
      <c r="M219" s="37"/>
      <c r="N219" s="37"/>
      <c r="O219" s="149">
        <v>0</v>
      </c>
      <c r="P219" s="43">
        <f t="shared" si="34"/>
        <v>17828.14</v>
      </c>
      <c r="Q219" s="43">
        <f t="shared" si="35"/>
        <v>17828.14</v>
      </c>
      <c r="R219" s="68">
        <f t="shared" si="36"/>
        <v>15171.86</v>
      </c>
      <c r="S219" s="79">
        <f t="shared" si="37"/>
        <v>7585.93</v>
      </c>
    </row>
    <row r="220" spans="1:20" s="8" customFormat="1" ht="15" customHeight="1" x14ac:dyDescent="0.2">
      <c r="A220" s="12" t="s">
        <v>109</v>
      </c>
      <c r="B220" s="55" t="s">
        <v>148</v>
      </c>
      <c r="C220" s="88">
        <v>24000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149">
        <v>0</v>
      </c>
      <c r="P220" s="43">
        <f t="shared" si="34"/>
        <v>0</v>
      </c>
      <c r="Q220" s="43">
        <f t="shared" si="35"/>
        <v>0</v>
      </c>
      <c r="R220" s="68">
        <f t="shared" si="36"/>
        <v>24000</v>
      </c>
      <c r="S220" s="79">
        <f t="shared" si="37"/>
        <v>12000</v>
      </c>
    </row>
    <row r="221" spans="1:20" s="8" customFormat="1" ht="15" customHeight="1" x14ac:dyDescent="0.2">
      <c r="A221" s="12" t="s">
        <v>170</v>
      </c>
      <c r="B221" s="55" t="s">
        <v>148</v>
      </c>
      <c r="C221" s="88">
        <v>10000</v>
      </c>
      <c r="D221" s="37"/>
      <c r="E221" s="37"/>
      <c r="F221" s="37"/>
      <c r="G221" s="37">
        <v>0</v>
      </c>
      <c r="H221" s="37">
        <v>2803.7</v>
      </c>
      <c r="I221" s="37"/>
      <c r="J221" s="37"/>
      <c r="K221" s="37"/>
      <c r="L221" s="37"/>
      <c r="M221" s="37"/>
      <c r="N221" s="37"/>
      <c r="O221" s="149">
        <v>0</v>
      </c>
      <c r="P221" s="43">
        <f t="shared" si="34"/>
        <v>2803.7</v>
      </c>
      <c r="Q221" s="43">
        <f t="shared" si="35"/>
        <v>2803.7</v>
      </c>
      <c r="R221" s="68">
        <f t="shared" si="36"/>
        <v>7196.3</v>
      </c>
      <c r="S221" s="79">
        <f t="shared" si="37"/>
        <v>3598.15</v>
      </c>
    </row>
    <row r="222" spans="1:20" s="8" customFormat="1" ht="15" customHeight="1" x14ac:dyDescent="0.2">
      <c r="A222" s="12" t="s">
        <v>110</v>
      </c>
      <c r="B222" s="55" t="s">
        <v>148</v>
      </c>
      <c r="C222" s="88">
        <v>3300</v>
      </c>
      <c r="D222" s="37"/>
      <c r="E222" s="37"/>
      <c r="F222" s="37">
        <v>680</v>
      </c>
      <c r="G222" s="37">
        <v>0</v>
      </c>
      <c r="H222" s="37"/>
      <c r="I222" s="37"/>
      <c r="J222" s="37"/>
      <c r="K222" s="37">
        <v>730</v>
      </c>
      <c r="L222" s="37"/>
      <c r="M222" s="37"/>
      <c r="N222" s="37"/>
      <c r="O222" s="149">
        <v>0</v>
      </c>
      <c r="P222" s="43">
        <f t="shared" si="34"/>
        <v>1410</v>
      </c>
      <c r="Q222" s="43">
        <f t="shared" si="35"/>
        <v>1410</v>
      </c>
      <c r="R222" s="68">
        <f t="shared" si="36"/>
        <v>1890</v>
      </c>
      <c r="S222" s="79">
        <f t="shared" si="37"/>
        <v>945</v>
      </c>
    </row>
    <row r="223" spans="1:20" s="8" customFormat="1" ht="15" customHeight="1" x14ac:dyDescent="0.2">
      <c r="A223" s="12" t="s">
        <v>273</v>
      </c>
      <c r="B223" s="55" t="s">
        <v>148</v>
      </c>
      <c r="C223" s="88">
        <v>0</v>
      </c>
      <c r="D223" s="37"/>
      <c r="E223" s="37"/>
      <c r="F223" s="37"/>
      <c r="G223" s="37"/>
      <c r="H223" s="37">
        <v>3281.76</v>
      </c>
      <c r="I223" s="37"/>
      <c r="J223" s="37"/>
      <c r="K223" s="37"/>
      <c r="L223" s="37"/>
      <c r="M223" s="37"/>
      <c r="N223" s="37"/>
      <c r="O223" s="149">
        <v>0</v>
      </c>
      <c r="P223" s="43">
        <f t="shared" si="34"/>
        <v>3281.76</v>
      </c>
      <c r="Q223" s="43">
        <f t="shared" si="35"/>
        <v>3281.76</v>
      </c>
      <c r="R223" s="116">
        <f t="shared" si="36"/>
        <v>-3281.76</v>
      </c>
      <c r="S223" s="79">
        <f>R223/2</f>
        <v>-1640.88</v>
      </c>
    </row>
    <row r="224" spans="1:20" s="8" customFormat="1" ht="15" customHeight="1" x14ac:dyDescent="0.2">
      <c r="A224" s="12" t="s">
        <v>111</v>
      </c>
      <c r="B224" s="55" t="s">
        <v>149</v>
      </c>
      <c r="C224" s="88">
        <v>9000</v>
      </c>
      <c r="D224" s="37"/>
      <c r="E224" s="37">
        <v>0</v>
      </c>
      <c r="F224" s="37">
        <v>600</v>
      </c>
      <c r="G224" s="37"/>
      <c r="H224" s="37"/>
      <c r="I224" s="37">
        <v>513.04999999999995</v>
      </c>
      <c r="J224" s="37"/>
      <c r="K224" s="37"/>
      <c r="L224" s="37"/>
      <c r="M224" s="37"/>
      <c r="N224" s="37"/>
      <c r="O224" s="149">
        <v>1000</v>
      </c>
      <c r="P224" s="43">
        <f t="shared" si="34"/>
        <v>1113.05</v>
      </c>
      <c r="Q224" s="43">
        <f t="shared" si="35"/>
        <v>2113.0500000000002</v>
      </c>
      <c r="R224" s="68">
        <f t="shared" si="36"/>
        <v>6886.95</v>
      </c>
      <c r="S224" s="79">
        <f t="shared" si="37"/>
        <v>3443.4749999999999</v>
      </c>
    </row>
    <row r="225" spans="1:19" s="7" customFormat="1" ht="15" customHeight="1" x14ac:dyDescent="0.2">
      <c r="A225" s="12" t="s">
        <v>112</v>
      </c>
      <c r="B225" s="55" t="s">
        <v>162</v>
      </c>
      <c r="C225" s="88">
        <v>200000</v>
      </c>
      <c r="D225" s="37"/>
      <c r="E225" s="37">
        <v>0</v>
      </c>
      <c r="F225" s="37">
        <v>39856</v>
      </c>
      <c r="G225" s="37"/>
      <c r="H225" s="37"/>
      <c r="I225" s="37"/>
      <c r="J225" s="37"/>
      <c r="K225" s="37"/>
      <c r="L225" s="37"/>
      <c r="M225" s="37">
        <v>39856</v>
      </c>
      <c r="N225" s="37"/>
      <c r="O225" s="149">
        <f>39856*3</f>
        <v>119568</v>
      </c>
      <c r="P225" s="43">
        <f t="shared" si="34"/>
        <v>79712</v>
      </c>
      <c r="Q225" s="43">
        <f t="shared" si="35"/>
        <v>199280</v>
      </c>
      <c r="R225" s="68">
        <f t="shared" si="36"/>
        <v>720</v>
      </c>
      <c r="S225" s="79">
        <f t="shared" si="37"/>
        <v>360</v>
      </c>
    </row>
    <row r="226" spans="1:19" s="8" customFormat="1" ht="15" customHeight="1" x14ac:dyDescent="0.2">
      <c r="A226" s="12" t="s">
        <v>281</v>
      </c>
      <c r="B226" s="55" t="s">
        <v>156</v>
      </c>
      <c r="C226" s="88">
        <v>90000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149">
        <v>0</v>
      </c>
      <c r="P226" s="43">
        <f t="shared" si="34"/>
        <v>0</v>
      </c>
      <c r="Q226" s="43">
        <f t="shared" si="35"/>
        <v>0</v>
      </c>
      <c r="R226" s="68">
        <f t="shared" si="36"/>
        <v>90000</v>
      </c>
      <c r="S226" s="79">
        <f t="shared" si="37"/>
        <v>45000</v>
      </c>
    </row>
    <row r="227" spans="1:19" s="7" customFormat="1" ht="15" customHeight="1" x14ac:dyDescent="0.2">
      <c r="A227" s="12" t="s">
        <v>84</v>
      </c>
      <c r="B227" s="55" t="s">
        <v>149</v>
      </c>
      <c r="C227" s="88">
        <v>20000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149">
        <v>6000</v>
      </c>
      <c r="P227" s="43">
        <f t="shared" si="34"/>
        <v>0</v>
      </c>
      <c r="Q227" s="43">
        <f t="shared" si="35"/>
        <v>6000</v>
      </c>
      <c r="R227" s="68">
        <f t="shared" si="36"/>
        <v>14000</v>
      </c>
      <c r="S227" s="79">
        <f t="shared" si="37"/>
        <v>7000</v>
      </c>
    </row>
    <row r="228" spans="1:19" s="7" customFormat="1" ht="15" customHeight="1" x14ac:dyDescent="0.2">
      <c r="A228" s="12" t="s">
        <v>171</v>
      </c>
      <c r="B228" s="55" t="s">
        <v>172</v>
      </c>
      <c r="C228" s="88">
        <v>30000</v>
      </c>
      <c r="D228" s="37"/>
      <c r="E228" s="37">
        <v>2500</v>
      </c>
      <c r="F228" s="37">
        <v>5000</v>
      </c>
      <c r="G228" s="37">
        <v>0</v>
      </c>
      <c r="H228" s="37">
        <v>2500</v>
      </c>
      <c r="I228" s="37">
        <v>2500</v>
      </c>
      <c r="J228" s="37">
        <v>2500</v>
      </c>
      <c r="K228" s="37">
        <v>5000</v>
      </c>
      <c r="L228" s="37">
        <v>0</v>
      </c>
      <c r="M228" s="37">
        <v>2500</v>
      </c>
      <c r="N228" s="37">
        <v>2500</v>
      </c>
      <c r="O228" s="149">
        <v>5000</v>
      </c>
      <c r="P228" s="43">
        <f t="shared" si="34"/>
        <v>25000</v>
      </c>
      <c r="Q228" s="43">
        <f t="shared" si="35"/>
        <v>30000</v>
      </c>
      <c r="R228" s="68">
        <f t="shared" si="36"/>
        <v>0</v>
      </c>
      <c r="S228" s="79">
        <f t="shared" si="37"/>
        <v>0</v>
      </c>
    </row>
    <row r="229" spans="1:19" s="8" customFormat="1" ht="6.95" customHeight="1" x14ac:dyDescent="0.2">
      <c r="A229" s="12"/>
      <c r="B229" s="55"/>
      <c r="C229" s="88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145"/>
      <c r="P229" s="43"/>
      <c r="Q229" s="43">
        <f t="shared" si="35"/>
        <v>0</v>
      </c>
      <c r="S229" s="7"/>
    </row>
    <row r="230" spans="1:19" s="7" customFormat="1" ht="15" customHeight="1" x14ac:dyDescent="0.2">
      <c r="A230" s="15" t="str">
        <f>"TOTAL "&amp;A210</f>
        <v>TOTAL TOURISM SERVICES</v>
      </c>
      <c r="B230" s="59"/>
      <c r="C230" s="97">
        <f>SUM(C212:C229)</f>
        <v>888300</v>
      </c>
      <c r="D230" s="40">
        <f t="shared" ref="D230:Q230" si="38">SUM(D212:D228)</f>
        <v>7960.34</v>
      </c>
      <c r="E230" s="40">
        <f t="shared" si="38"/>
        <v>13020</v>
      </c>
      <c r="F230" s="40">
        <f t="shared" si="38"/>
        <v>89836.05</v>
      </c>
      <c r="G230" s="40">
        <f t="shared" si="38"/>
        <v>36236.060000000005</v>
      </c>
      <c r="H230" s="40">
        <f t="shared" si="38"/>
        <v>74509.459999999992</v>
      </c>
      <c r="I230" s="40">
        <f t="shared" si="38"/>
        <v>18479.25</v>
      </c>
      <c r="J230" s="40">
        <f t="shared" si="38"/>
        <v>33563.479999999996</v>
      </c>
      <c r="K230" s="40">
        <f t="shared" si="38"/>
        <v>24526.14</v>
      </c>
      <c r="L230" s="40">
        <f t="shared" si="38"/>
        <v>1243</v>
      </c>
      <c r="M230" s="40">
        <f t="shared" si="38"/>
        <v>68777.350000000006</v>
      </c>
      <c r="N230" s="40">
        <f t="shared" si="38"/>
        <v>35997.78</v>
      </c>
      <c r="O230" s="152">
        <f>SUM(O212:O228)</f>
        <v>236349.4</v>
      </c>
      <c r="P230" s="40">
        <f>SUM(D230:N230)</f>
        <v>404148.91000000003</v>
      </c>
      <c r="Q230" s="40">
        <f t="shared" si="38"/>
        <v>640498.31000000006</v>
      </c>
      <c r="R230" s="44">
        <f>SUM(R212:R228)</f>
        <v>247801.69000000003</v>
      </c>
    </row>
    <row r="231" spans="1:19" s="7" customFormat="1" ht="6.95" customHeight="1" x14ac:dyDescent="0.2">
      <c r="A231" s="11"/>
      <c r="B231" s="61"/>
      <c r="C231" s="99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153"/>
      <c r="P231" s="41"/>
      <c r="Q231" s="41"/>
      <c r="R231" s="8"/>
    </row>
    <row r="232" spans="1:19" s="7" customFormat="1" ht="18" customHeight="1" x14ac:dyDescent="0.2">
      <c r="A232" s="171" t="s">
        <v>113</v>
      </c>
      <c r="B232" s="171"/>
      <c r="C232" s="171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8"/>
    </row>
    <row r="233" spans="1:19" s="7" customFormat="1" ht="6.95" customHeight="1" x14ac:dyDescent="0.2">
      <c r="A233" s="10"/>
      <c r="B233" s="58"/>
      <c r="C233" s="96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148"/>
      <c r="P233" s="36"/>
      <c r="Q233" s="36"/>
      <c r="R233" s="8"/>
    </row>
    <row r="234" spans="1:19" s="8" customFormat="1" ht="15" customHeight="1" x14ac:dyDescent="0.2">
      <c r="A234" s="12" t="s">
        <v>201</v>
      </c>
      <c r="B234" s="55" t="s">
        <v>149</v>
      </c>
      <c r="C234" s="88">
        <v>270000</v>
      </c>
      <c r="D234" s="37"/>
      <c r="E234" s="37">
        <v>0</v>
      </c>
      <c r="F234" s="37">
        <v>2212.8000000000002</v>
      </c>
      <c r="G234" s="37">
        <v>3498.49</v>
      </c>
      <c r="H234" s="37">
        <v>-17822.8</v>
      </c>
      <c r="I234" s="37">
        <v>-8160</v>
      </c>
      <c r="J234" s="37">
        <v>39758.949999999997</v>
      </c>
      <c r="K234" s="37">
        <v>4646.37</v>
      </c>
      <c r="L234" s="37">
        <v>44137.87</v>
      </c>
      <c r="M234" s="37">
        <v>34118.82</v>
      </c>
      <c r="N234" s="37">
        <v>6038.95</v>
      </c>
      <c r="O234" s="149">
        <f>56193.18+5460+4000</f>
        <v>65653.179999999993</v>
      </c>
      <c r="P234" s="43">
        <f>SUM(D234:N234)</f>
        <v>108429.45</v>
      </c>
      <c r="Q234" s="43">
        <f>SUM(D234:O234)</f>
        <v>174082.63</v>
      </c>
      <c r="R234" s="68">
        <f>C234-Q234</f>
        <v>95917.37</v>
      </c>
      <c r="S234" s="79">
        <f>R234/2</f>
        <v>47958.684999999998</v>
      </c>
    </row>
    <row r="235" spans="1:19" s="7" customFormat="1" ht="15" customHeight="1" x14ac:dyDescent="0.2">
      <c r="A235" s="12" t="s">
        <v>114</v>
      </c>
      <c r="B235" s="55" t="s">
        <v>149</v>
      </c>
      <c r="C235" s="88"/>
      <c r="D235" s="37">
        <v>-13750</v>
      </c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149"/>
      <c r="P235" s="33">
        <f>SUM(D235:N235)</f>
        <v>-13750</v>
      </c>
      <c r="Q235" s="33">
        <f>SUM(D235:O235)</f>
        <v>-13750</v>
      </c>
      <c r="R235" s="68">
        <f>C235-Q235</f>
        <v>13750</v>
      </c>
      <c r="S235" s="79">
        <f>R235/2</f>
        <v>6875</v>
      </c>
    </row>
    <row r="236" spans="1:19" s="8" customFormat="1" ht="6.95" customHeight="1" x14ac:dyDescent="0.2">
      <c r="A236" s="12"/>
      <c r="B236" s="55"/>
      <c r="C236" s="88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145"/>
      <c r="P236" s="43"/>
      <c r="Q236" s="43"/>
      <c r="S236" s="7"/>
    </row>
    <row r="237" spans="1:19" s="7" customFormat="1" ht="15" customHeight="1" x14ac:dyDescent="0.2">
      <c r="A237" s="15" t="str">
        <f>"TOTAL "&amp;A232</f>
        <v xml:space="preserve">TOTAL PENANG CENTRE OF EDUCATION TOURISM </v>
      </c>
      <c r="B237" s="59"/>
      <c r="C237" s="97">
        <f>SUM(C234:C236)</f>
        <v>270000</v>
      </c>
      <c r="D237" s="40">
        <f>SUM(D234:D235)</f>
        <v>-13750</v>
      </c>
      <c r="E237" s="40">
        <f t="shared" ref="E237:G237" si="39">SUM(E234:E235)</f>
        <v>0</v>
      </c>
      <c r="F237" s="40">
        <f t="shared" si="39"/>
        <v>2212.8000000000002</v>
      </c>
      <c r="G237" s="40">
        <f t="shared" si="39"/>
        <v>3498.49</v>
      </c>
      <c r="H237" s="40">
        <f t="shared" ref="H237:R237" si="40">SUM(H234:H235)</f>
        <v>-17822.8</v>
      </c>
      <c r="I237" s="40">
        <f t="shared" si="40"/>
        <v>-8160</v>
      </c>
      <c r="J237" s="40">
        <f t="shared" si="40"/>
        <v>39758.949999999997</v>
      </c>
      <c r="K237" s="40">
        <f t="shared" si="40"/>
        <v>4646.37</v>
      </c>
      <c r="L237" s="40">
        <f t="shared" si="40"/>
        <v>44137.87</v>
      </c>
      <c r="M237" s="40">
        <f t="shared" si="40"/>
        <v>34118.82</v>
      </c>
      <c r="N237" s="40">
        <f t="shared" si="40"/>
        <v>6038.95</v>
      </c>
      <c r="O237" s="152">
        <f t="shared" si="40"/>
        <v>65653.179999999993</v>
      </c>
      <c r="P237" s="40">
        <f>SUM(D237:N237)</f>
        <v>94679.45</v>
      </c>
      <c r="Q237" s="40">
        <f t="shared" si="40"/>
        <v>160332.63</v>
      </c>
      <c r="R237" s="27">
        <f t="shared" si="40"/>
        <v>109667.37</v>
      </c>
    </row>
    <row r="238" spans="1:19" s="7" customFormat="1" ht="6.95" customHeight="1" x14ac:dyDescent="0.2">
      <c r="A238" s="11"/>
      <c r="B238" s="61"/>
      <c r="C238" s="99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153"/>
      <c r="P238" s="41"/>
      <c r="Q238" s="41"/>
      <c r="R238" s="69"/>
    </row>
    <row r="239" spans="1:19" s="7" customFormat="1" ht="18" customHeight="1" x14ac:dyDescent="0.2">
      <c r="A239" s="171" t="s">
        <v>173</v>
      </c>
      <c r="B239" s="171"/>
      <c r="C239" s="171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69"/>
    </row>
    <row r="240" spans="1:19" s="7" customFormat="1" ht="6.95" customHeight="1" x14ac:dyDescent="0.2">
      <c r="A240" s="10"/>
      <c r="B240" s="58"/>
      <c r="C240" s="96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148"/>
      <c r="P240" s="36"/>
      <c r="Q240" s="36"/>
      <c r="R240" s="69"/>
    </row>
    <row r="241" spans="1:19" s="8" customFormat="1" ht="15" customHeight="1" x14ac:dyDescent="0.2">
      <c r="A241" s="12" t="s">
        <v>174</v>
      </c>
      <c r="B241" s="55" t="s">
        <v>149</v>
      </c>
      <c r="C241" s="88">
        <v>150000</v>
      </c>
      <c r="D241" s="37"/>
      <c r="E241" s="37">
        <v>4932</v>
      </c>
      <c r="F241" s="37">
        <v>46385</v>
      </c>
      <c r="G241" s="37">
        <v>32651.5</v>
      </c>
      <c r="H241" s="37">
        <v>0</v>
      </c>
      <c r="I241" s="37">
        <v>0</v>
      </c>
      <c r="J241" s="37">
        <v>1335.6</v>
      </c>
      <c r="K241" s="37">
        <v>6346.24</v>
      </c>
      <c r="L241" s="37">
        <v>621</v>
      </c>
      <c r="M241" s="37">
        <v>3998.5</v>
      </c>
      <c r="N241" s="37">
        <v>13038</v>
      </c>
      <c r="O241" s="149">
        <v>14216.990000000002</v>
      </c>
      <c r="P241" s="43">
        <f>SUM(D241:N241)</f>
        <v>109307.84000000001</v>
      </c>
      <c r="Q241" s="43">
        <f>SUM(D241:O241)</f>
        <v>123524.83000000002</v>
      </c>
      <c r="R241" s="68">
        <f>C241-Q241</f>
        <v>26475.169999999984</v>
      </c>
      <c r="S241" s="79">
        <f>R241/2</f>
        <v>13237.584999999992</v>
      </c>
    </row>
    <row r="242" spans="1:19" s="7" customFormat="1" ht="15" customHeight="1" x14ac:dyDescent="0.2">
      <c r="A242" s="12" t="s">
        <v>114</v>
      </c>
      <c r="B242" s="55" t="s">
        <v>149</v>
      </c>
      <c r="C242" s="88"/>
      <c r="D242" s="37">
        <v>-22000</v>
      </c>
      <c r="E242" s="37"/>
      <c r="F242" s="37"/>
      <c r="G242" s="37"/>
      <c r="H242" s="37"/>
      <c r="I242" s="37"/>
      <c r="J242" s="37"/>
      <c r="K242" s="37"/>
      <c r="L242" s="37">
        <v>-1000</v>
      </c>
      <c r="M242" s="37"/>
      <c r="N242" s="37"/>
      <c r="O242" s="149"/>
      <c r="P242" s="33">
        <f>SUM(D242:N242)</f>
        <v>-23000</v>
      </c>
      <c r="Q242" s="33">
        <f>SUM(D242:O242)</f>
        <v>-23000</v>
      </c>
      <c r="R242" s="68">
        <f>C242-Q242</f>
        <v>23000</v>
      </c>
      <c r="S242" s="79">
        <f t="shared" ref="S242:S243" si="41">R242/2</f>
        <v>11500</v>
      </c>
    </row>
    <row r="243" spans="1:19" s="8" customFormat="1" ht="6.95" customHeight="1" x14ac:dyDescent="0.2">
      <c r="A243" s="12"/>
      <c r="B243" s="55"/>
      <c r="C243" s="88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145"/>
      <c r="P243" s="43"/>
      <c r="Q243" s="43"/>
      <c r="R243" s="69"/>
      <c r="S243" s="79">
        <f t="shared" si="41"/>
        <v>0</v>
      </c>
    </row>
    <row r="244" spans="1:19" s="7" customFormat="1" ht="15" customHeight="1" x14ac:dyDescent="0.2">
      <c r="A244" s="15" t="str">
        <f>"TOTAL "&amp;A239</f>
        <v xml:space="preserve">TOTAL PENANG CENTRE MEDICAL TOURISM </v>
      </c>
      <c r="B244" s="59"/>
      <c r="C244" s="97">
        <f>SUM(C241:C243)</f>
        <v>150000</v>
      </c>
      <c r="D244" s="40">
        <f>SUM(D241:D242)</f>
        <v>-22000</v>
      </c>
      <c r="E244" s="40">
        <f>SUM(E241:E242)</f>
        <v>4932</v>
      </c>
      <c r="F244" s="40">
        <f>SUM(F241:F242)</f>
        <v>46385</v>
      </c>
      <c r="G244" s="40">
        <f t="shared" ref="G244:R244" si="42">SUM(G241:G242)</f>
        <v>32651.5</v>
      </c>
      <c r="H244" s="40">
        <f t="shared" si="42"/>
        <v>0</v>
      </c>
      <c r="I244" s="40">
        <f>SUM(I241:I242)</f>
        <v>0</v>
      </c>
      <c r="J244" s="40">
        <f t="shared" si="42"/>
        <v>1335.6</v>
      </c>
      <c r="K244" s="40">
        <f t="shared" si="42"/>
        <v>6346.24</v>
      </c>
      <c r="L244" s="40">
        <f t="shared" si="42"/>
        <v>-379</v>
      </c>
      <c r="M244" s="40">
        <f t="shared" si="42"/>
        <v>3998.5</v>
      </c>
      <c r="N244" s="40">
        <f t="shared" si="42"/>
        <v>13038</v>
      </c>
      <c r="O244" s="152">
        <f t="shared" si="42"/>
        <v>14216.990000000002</v>
      </c>
      <c r="P244" s="40">
        <f>SUM(D244:N244)</f>
        <v>86307.839999999997</v>
      </c>
      <c r="Q244" s="40">
        <f t="shared" si="42"/>
        <v>100524.83000000002</v>
      </c>
      <c r="R244" s="27">
        <f t="shared" si="42"/>
        <v>49475.169999999984</v>
      </c>
    </row>
    <row r="245" spans="1:19" ht="6.95" customHeight="1" x14ac:dyDescent="0.2">
      <c r="R245" s="8"/>
    </row>
    <row r="246" spans="1:19" ht="6.95" customHeight="1" x14ac:dyDescent="0.2">
      <c r="R246" s="8"/>
    </row>
    <row r="247" spans="1:19" s="7" customFormat="1" ht="18" customHeight="1" x14ac:dyDescent="0.2">
      <c r="A247" s="171" t="s">
        <v>187</v>
      </c>
      <c r="B247" s="171"/>
      <c r="C247" s="171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8"/>
    </row>
    <row r="248" spans="1:19" s="7" customFormat="1" ht="9.75" customHeight="1" x14ac:dyDescent="0.2">
      <c r="A248" s="81"/>
      <c r="B248" s="81"/>
      <c r="C248" s="103"/>
      <c r="D248" s="82"/>
      <c r="E248" s="87"/>
      <c r="F248" s="87"/>
      <c r="G248" s="87"/>
      <c r="H248" s="87"/>
      <c r="I248" s="87"/>
      <c r="J248" s="87"/>
      <c r="K248" s="133"/>
      <c r="L248" s="133"/>
      <c r="M248" s="133"/>
      <c r="N248" s="133"/>
      <c r="O248" s="160"/>
      <c r="P248" s="82"/>
      <c r="Q248" s="82"/>
      <c r="R248" s="8"/>
    </row>
    <row r="249" spans="1:19" s="8" customFormat="1" ht="15" customHeight="1" x14ac:dyDescent="0.2">
      <c r="A249" s="12" t="s">
        <v>237</v>
      </c>
      <c r="B249" s="55" t="s">
        <v>149</v>
      </c>
      <c r="C249" s="88"/>
      <c r="D249" s="37"/>
      <c r="E249" s="37">
        <v>0</v>
      </c>
      <c r="F249" s="37">
        <v>0</v>
      </c>
      <c r="G249" s="37">
        <v>490728.03</v>
      </c>
      <c r="H249" s="37">
        <v>57394.93</v>
      </c>
      <c r="I249" s="37"/>
      <c r="J249" s="37">
        <v>9358.93</v>
      </c>
      <c r="K249" s="37">
        <v>233030.19</v>
      </c>
      <c r="L249" s="37">
        <v>6005.56</v>
      </c>
      <c r="M249" s="37">
        <v>153882.71</v>
      </c>
      <c r="N249" s="37">
        <v>0</v>
      </c>
      <c r="O249" s="149"/>
      <c r="P249" s="38">
        <f>SUM(D249:N249)</f>
        <v>950400.35000000009</v>
      </c>
      <c r="Q249" s="43">
        <f>SUM(D249:O249)</f>
        <v>950400.35000000009</v>
      </c>
      <c r="R249" s="68">
        <f>C249-Q249</f>
        <v>-950400.35000000009</v>
      </c>
      <c r="S249" s="68"/>
    </row>
    <row r="250" spans="1:19" s="8" customFormat="1" ht="15" customHeight="1" x14ac:dyDescent="0.2">
      <c r="A250" s="12" t="s">
        <v>179</v>
      </c>
      <c r="B250" s="55" t="s">
        <v>180</v>
      </c>
      <c r="C250" s="88"/>
      <c r="D250" s="37"/>
      <c r="E250" s="37"/>
      <c r="F250" s="37"/>
      <c r="G250" s="37"/>
      <c r="H250" s="37">
        <v>50000</v>
      </c>
      <c r="I250" s="37"/>
      <c r="J250" s="37"/>
      <c r="K250" s="37"/>
      <c r="L250" s="37"/>
      <c r="M250" s="37"/>
      <c r="N250" s="37"/>
      <c r="O250" s="149"/>
      <c r="P250" s="38">
        <f>SUM(D250:N250)</f>
        <v>50000</v>
      </c>
      <c r="Q250" s="43">
        <f>SUM(D250:O250)</f>
        <v>50000</v>
      </c>
      <c r="R250" s="69"/>
      <c r="S250" s="7"/>
    </row>
    <row r="251" spans="1:19" s="8" customFormat="1" ht="15" customHeight="1" x14ac:dyDescent="0.2">
      <c r="A251" s="12" t="s">
        <v>200</v>
      </c>
      <c r="B251" s="55" t="s">
        <v>238</v>
      </c>
      <c r="C251" s="88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149"/>
      <c r="P251" s="38">
        <f>SUM(D251:N251)</f>
        <v>0</v>
      </c>
      <c r="Q251" s="43">
        <f>SUM(D251:O251)</f>
        <v>0</v>
      </c>
      <c r="R251" s="69"/>
      <c r="S251" s="7"/>
    </row>
    <row r="252" spans="1:19" s="8" customFormat="1" ht="15" customHeight="1" x14ac:dyDescent="0.2">
      <c r="A252" s="12" t="s">
        <v>178</v>
      </c>
      <c r="B252" s="55" t="s">
        <v>177</v>
      </c>
      <c r="C252" s="88"/>
      <c r="D252" s="37">
        <v>597064.47</v>
      </c>
      <c r="E252" s="37">
        <v>196346</v>
      </c>
      <c r="F252" s="37">
        <v>42096</v>
      </c>
      <c r="G252" s="37">
        <v>12501.4</v>
      </c>
      <c r="H252" s="37">
        <v>47435</v>
      </c>
      <c r="I252" s="37"/>
      <c r="J252" s="37"/>
      <c r="K252" s="37">
        <v>9850</v>
      </c>
      <c r="L252" s="37"/>
      <c r="M252" s="37"/>
      <c r="N252" s="37"/>
      <c r="O252" s="149">
        <v>63150</v>
      </c>
      <c r="P252" s="38">
        <f>SUM(D252:N252)</f>
        <v>905292.87</v>
      </c>
      <c r="Q252" s="43">
        <f>SUM(D252:O252)</f>
        <v>968442.87</v>
      </c>
      <c r="R252" s="69"/>
      <c r="S252" s="7"/>
    </row>
    <row r="253" spans="1:19" s="8" customFormat="1" ht="15" customHeight="1" x14ac:dyDescent="0.2">
      <c r="A253" s="12"/>
      <c r="B253" s="55"/>
      <c r="C253" s="88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145"/>
      <c r="P253" s="43"/>
      <c r="Q253" s="43"/>
      <c r="S253" s="7"/>
    </row>
    <row r="254" spans="1:19" s="7" customFormat="1" ht="15" customHeight="1" x14ac:dyDescent="0.2">
      <c r="A254" s="15" t="str">
        <f>"TOTAL "&amp;A247</f>
        <v>TOTAL OTHERS</v>
      </c>
      <c r="B254" s="15"/>
      <c r="C254" s="97">
        <f t="shared" ref="C254" si="43">SUM(C250:C253)</f>
        <v>0</v>
      </c>
      <c r="D254" s="85">
        <f>SUM(D249:D253)</f>
        <v>597064.47</v>
      </c>
      <c r="E254" s="85">
        <f t="shared" ref="E254:O254" si="44">SUM(E249:E253)</f>
        <v>196346</v>
      </c>
      <c r="F254" s="85">
        <f>SUM(F249:F253)</f>
        <v>42096</v>
      </c>
      <c r="G254" s="85">
        <f t="shared" si="44"/>
        <v>503229.43000000005</v>
      </c>
      <c r="H254" s="85">
        <f t="shared" si="44"/>
        <v>154829.93</v>
      </c>
      <c r="I254" s="85">
        <f t="shared" si="44"/>
        <v>0</v>
      </c>
      <c r="J254" s="85">
        <f t="shared" si="44"/>
        <v>9358.93</v>
      </c>
      <c r="K254" s="85">
        <f>SUM(K249:K253)</f>
        <v>242880.19</v>
      </c>
      <c r="L254" s="85">
        <f t="shared" si="44"/>
        <v>6005.56</v>
      </c>
      <c r="M254" s="85">
        <f t="shared" si="44"/>
        <v>153882.71</v>
      </c>
      <c r="N254" s="85">
        <f t="shared" si="44"/>
        <v>0</v>
      </c>
      <c r="O254" s="161">
        <f t="shared" si="44"/>
        <v>63150</v>
      </c>
      <c r="P254" s="85">
        <f>SUM(D254:N254)</f>
        <v>1905693.2199999997</v>
      </c>
      <c r="Q254" s="85">
        <f>SUM(Q249:Q253)</f>
        <v>1968843.2200000002</v>
      </c>
    </row>
    <row r="255" spans="1:19" ht="6.95" customHeight="1" x14ac:dyDescent="0.2">
      <c r="R255" s="8"/>
    </row>
    <row r="256" spans="1:19" s="8" customFormat="1" ht="15" customHeight="1" x14ac:dyDescent="0.2">
      <c r="A256" s="24" t="s">
        <v>255</v>
      </c>
      <c r="B256" s="83"/>
      <c r="C256" s="104">
        <f>C66+C83+C91+C100+C157+C194+C208+C230+C237+C244</f>
        <v>11933315.1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139"/>
      <c r="P256" s="27"/>
      <c r="Q256" s="27">
        <f>Q66+Q83+Q91+Q100+Q157+Q194+Q208+Q230+Q237+Q244+Q249</f>
        <v>9689006.7280000001</v>
      </c>
      <c r="S256" s="7"/>
    </row>
    <row r="257" spans="1:20" s="7" customFormat="1" ht="20.100000000000001" customHeight="1" x14ac:dyDescent="0.2">
      <c r="A257" s="169" t="s">
        <v>14</v>
      </c>
      <c r="B257" s="169"/>
      <c r="C257" s="169"/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0"/>
      <c r="R257" s="8"/>
    </row>
    <row r="258" spans="1:20" ht="6.95" customHeight="1" x14ac:dyDescent="0.2">
      <c r="A258" s="18"/>
      <c r="B258" s="65"/>
      <c r="C258" s="105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162"/>
      <c r="P258" s="48"/>
      <c r="Q258" s="48"/>
      <c r="R258" s="8"/>
    </row>
    <row r="259" spans="1:20" s="8" customFormat="1" ht="15" customHeight="1" x14ac:dyDescent="0.2">
      <c r="A259" s="19" t="s">
        <v>1</v>
      </c>
      <c r="B259" s="66"/>
      <c r="C259" s="106"/>
      <c r="D259" s="77">
        <f t="shared" ref="D259:O259" si="45">D15</f>
        <v>1943000</v>
      </c>
      <c r="E259" s="77">
        <f t="shared" si="45"/>
        <v>0</v>
      </c>
      <c r="F259" s="77">
        <f t="shared" si="45"/>
        <v>4070000</v>
      </c>
      <c r="G259" s="77">
        <f t="shared" si="45"/>
        <v>597251.53</v>
      </c>
      <c r="H259" s="77">
        <f t="shared" si="45"/>
        <v>1000000</v>
      </c>
      <c r="I259" s="77">
        <f t="shared" si="45"/>
        <v>1000000</v>
      </c>
      <c r="J259" s="77">
        <f t="shared" si="45"/>
        <v>0</v>
      </c>
      <c r="K259" s="77">
        <f t="shared" si="45"/>
        <v>2500000</v>
      </c>
      <c r="L259" s="77">
        <f t="shared" si="45"/>
        <v>0</v>
      </c>
      <c r="M259" s="77"/>
      <c r="N259" s="77"/>
      <c r="O259" s="163">
        <f t="shared" si="45"/>
        <v>0</v>
      </c>
      <c r="P259" s="49">
        <f>SUM(D259:N259)</f>
        <v>11110251.530000001</v>
      </c>
      <c r="Q259" s="49">
        <f>SUM(D259:F259)</f>
        <v>6013000</v>
      </c>
      <c r="S259" s="68"/>
    </row>
    <row r="260" spans="1:20" s="8" customFormat="1" ht="15" customHeight="1" x14ac:dyDescent="0.2">
      <c r="A260" s="19" t="s">
        <v>2</v>
      </c>
      <c r="B260" s="66"/>
      <c r="C260" s="106"/>
      <c r="D260" s="77">
        <f>SUM(D66,D83,D100,D91,D157,D194,D208,D230,D237,D244,,D249,D250,D251)</f>
        <v>779793.19000000006</v>
      </c>
      <c r="E260" s="77">
        <f>SUM(E66,E83,E100,E91,E157,E194,E208,E230,E237,E244,,E249,E250,E251)</f>
        <v>395231.50999999995</v>
      </c>
      <c r="F260" s="77">
        <f>SUM(F66,F83,F100,F91,F157,F194,F208,F230,F237,F244,,F249,F250,F251)</f>
        <v>570669.67999999993</v>
      </c>
      <c r="G260" s="77">
        <f>SUM(G66,G83,G100,G91,G157,G194,G208,G230,G237,G244,,G249,G250,G251)</f>
        <v>852301.58000000007</v>
      </c>
      <c r="H260" s="77">
        <f>SUM(H66,H83,H100,H91,H157,H194,H208,H230,H237,H244,,H249,H250,H251)</f>
        <v>936229.45999999985</v>
      </c>
      <c r="I260" s="77">
        <f t="shared" ref="I260:L260" si="46">SUM(I66,I83,I100,I91,I157,I194,I208,I230,I237,I244,,I249)</f>
        <v>706658.83000000007</v>
      </c>
      <c r="J260" s="77">
        <f t="shared" si="46"/>
        <v>973643.53</v>
      </c>
      <c r="K260" s="77">
        <f t="shared" si="46"/>
        <v>663944.51</v>
      </c>
      <c r="L260" s="77">
        <f t="shared" si="46"/>
        <v>495535.27</v>
      </c>
      <c r="M260" s="77">
        <f>SUM(M66,M83,M100,M91,M157,M194,M208,M230,M237,M244,,M249)</f>
        <v>988864.77</v>
      </c>
      <c r="N260" s="77">
        <f>SUM(N66,N83,N100,N91,N157,N194,N208,N230,N237,N244,,N249)</f>
        <v>319287.32</v>
      </c>
      <c r="O260" s="163">
        <f>SUM(O66,O83,O100,O91,O157,O194,O208,O230,O237,O244,,O249,O252)</f>
        <v>2119997.0779999997</v>
      </c>
      <c r="P260" s="49">
        <f>SUM(D260:N260)</f>
        <v>7682159.6500000004</v>
      </c>
      <c r="Q260" s="49">
        <f>SUM(D260:F260)</f>
        <v>1745694.38</v>
      </c>
      <c r="S260" s="84"/>
    </row>
    <row r="261" spans="1:20" s="8" customFormat="1" ht="15" customHeight="1" x14ac:dyDescent="0.2">
      <c r="A261" s="78" t="s">
        <v>185</v>
      </c>
      <c r="B261" s="66"/>
      <c r="C261" s="106"/>
      <c r="D261" s="77">
        <f>D252</f>
        <v>597064.47</v>
      </c>
      <c r="E261" s="77">
        <f>E252</f>
        <v>196346</v>
      </c>
      <c r="F261" s="77">
        <f t="shared" ref="F261:H261" si="47">F252</f>
        <v>42096</v>
      </c>
      <c r="G261" s="77">
        <f t="shared" si="47"/>
        <v>12501.4</v>
      </c>
      <c r="H261" s="77">
        <f t="shared" si="47"/>
        <v>47435</v>
      </c>
      <c r="I261" s="77">
        <v>0</v>
      </c>
      <c r="J261" s="77"/>
      <c r="K261" s="77"/>
      <c r="L261" s="77"/>
      <c r="M261" s="77"/>
      <c r="N261" s="77"/>
      <c r="O261" s="163"/>
      <c r="P261" s="49">
        <f>SUM(D261:N261)</f>
        <v>895442.87</v>
      </c>
      <c r="Q261" s="49"/>
      <c r="S261" s="84"/>
    </row>
    <row r="262" spans="1:20" x14ac:dyDescent="0.2">
      <c r="A262" s="18"/>
      <c r="B262" s="65"/>
      <c r="C262" s="105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162"/>
      <c r="P262" s="48"/>
      <c r="Q262" s="48"/>
      <c r="R262" s="68"/>
      <c r="S262" s="134"/>
    </row>
    <row r="263" spans="1:20" s="8" customFormat="1" ht="18" customHeight="1" x14ac:dyDescent="0.2">
      <c r="A263" s="20" t="s">
        <v>115</v>
      </c>
      <c r="B263" s="67"/>
      <c r="C263" s="107"/>
      <c r="D263" s="50">
        <f>D259-D260-D261</f>
        <v>566142.34000000008</v>
      </c>
      <c r="E263" s="50">
        <f t="shared" ref="E263:N263" si="48">E259-E260</f>
        <v>-395231.50999999995</v>
      </c>
      <c r="F263" s="50">
        <f t="shared" si="48"/>
        <v>3499330.3200000003</v>
      </c>
      <c r="G263" s="50">
        <f>G259-G260</f>
        <v>-255050.05000000005</v>
      </c>
      <c r="H263" s="50">
        <f t="shared" si="48"/>
        <v>63770.540000000154</v>
      </c>
      <c r="I263" s="50">
        <f t="shared" si="48"/>
        <v>293341.16999999993</v>
      </c>
      <c r="J263" s="50">
        <f>J259-J260</f>
        <v>-973643.53</v>
      </c>
      <c r="K263" s="50">
        <f t="shared" si="48"/>
        <v>1836055.49</v>
      </c>
      <c r="L263" s="50">
        <f t="shared" si="48"/>
        <v>-495535.27</v>
      </c>
      <c r="M263" s="50">
        <f t="shared" si="48"/>
        <v>-988864.77</v>
      </c>
      <c r="N263" s="50">
        <f t="shared" si="48"/>
        <v>-319287.32</v>
      </c>
      <c r="O263" s="164">
        <f>O259-O260</f>
        <v>-2119997.0779999997</v>
      </c>
      <c r="P263" s="50">
        <f>SUM(D263:N263)</f>
        <v>2831027.4100000006</v>
      </c>
      <c r="Q263" s="50">
        <f>Q259-Q260</f>
        <v>4267305.62</v>
      </c>
      <c r="R263" s="79"/>
      <c r="S263" s="7"/>
    </row>
    <row r="265" spans="1:20" x14ac:dyDescent="0.2">
      <c r="C265" s="71">
        <f t="shared" ref="C265:N265" si="49">SUBTOTAL(9,C8:C254)</f>
        <v>23866630.199999999</v>
      </c>
      <c r="D265" s="71">
        <f t="shared" si="49"/>
        <v>6639715.3200000003</v>
      </c>
      <c r="E265" s="71">
        <f t="shared" si="49"/>
        <v>1183155.02</v>
      </c>
      <c r="F265" s="71">
        <f t="shared" si="49"/>
        <v>9365531.3600000069</v>
      </c>
      <c r="G265" s="71">
        <f t="shared" si="49"/>
        <v>2924109.0200000005</v>
      </c>
      <c r="H265" s="71">
        <f t="shared" si="49"/>
        <v>3967328.92</v>
      </c>
      <c r="I265" s="71">
        <f t="shared" si="49"/>
        <v>3413317.66</v>
      </c>
      <c r="J265" s="71">
        <f t="shared" si="49"/>
        <v>1947287.0599999998</v>
      </c>
      <c r="K265" s="71">
        <f t="shared" si="49"/>
        <v>6347589.0199999996</v>
      </c>
      <c r="L265" s="71">
        <f t="shared" si="49"/>
        <v>991070.54000000015</v>
      </c>
      <c r="M265" s="71">
        <f t="shared" si="49"/>
        <v>1977729.5400000003</v>
      </c>
      <c r="N265" s="71">
        <f t="shared" si="49"/>
        <v>638574.6399999999</v>
      </c>
      <c r="O265" s="159">
        <f>SUBTOTAL(9,O8:O254)</f>
        <v>4239994.1560000004</v>
      </c>
      <c r="P265" s="47">
        <f>SUM(D265:N265)</f>
        <v>39395408.100000009</v>
      </c>
      <c r="Q265" s="47">
        <f>SUBTOTAL(9,Q8:Q254)</f>
        <v>43635402.255999982</v>
      </c>
      <c r="T265" s="70"/>
    </row>
    <row r="266" spans="1:20" x14ac:dyDescent="0.2">
      <c r="D266" s="131"/>
    </row>
    <row r="268" spans="1:20" s="7" customFormat="1" ht="18" customHeight="1" x14ac:dyDescent="0.2">
      <c r="A268" s="167" t="s">
        <v>194</v>
      </c>
      <c r="B268" s="167"/>
      <c r="C268" s="167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</row>
    <row r="269" spans="1:20" s="7" customFormat="1" ht="13.5" customHeight="1" x14ac:dyDescent="0.2">
      <c r="A269" s="81"/>
      <c r="B269" s="81"/>
      <c r="C269" s="103"/>
      <c r="D269" s="82"/>
      <c r="E269" s="87"/>
      <c r="F269" s="87"/>
      <c r="G269" s="87"/>
      <c r="H269" s="87"/>
      <c r="I269" s="87"/>
      <c r="J269" s="87"/>
      <c r="K269" s="133"/>
      <c r="L269" s="133"/>
      <c r="M269" s="133"/>
      <c r="N269" s="133"/>
      <c r="O269" s="160"/>
      <c r="P269" s="82"/>
      <c r="Q269" s="82"/>
    </row>
    <row r="270" spans="1:20" s="8" customFormat="1" ht="15" customHeight="1" x14ac:dyDescent="0.2">
      <c r="A270" s="12" t="s">
        <v>260</v>
      </c>
      <c r="B270" s="55" t="s">
        <v>196</v>
      </c>
      <c r="C270" s="88">
        <v>2160000</v>
      </c>
      <c r="D270" s="37">
        <v>75980.800000000003</v>
      </c>
      <c r="E270" s="37">
        <v>0</v>
      </c>
      <c r="F270" s="37">
        <v>303.3</v>
      </c>
      <c r="G270" s="37">
        <v>6731</v>
      </c>
      <c r="H270" s="37">
        <v>173031.76</v>
      </c>
      <c r="I270" s="37">
        <v>80635.3</v>
      </c>
      <c r="J270" s="37">
        <v>1988.17</v>
      </c>
      <c r="K270" s="37">
        <v>56985.599999999999</v>
      </c>
      <c r="L270" s="37">
        <v>95003.15</v>
      </c>
      <c r="M270" s="37">
        <v>133932</v>
      </c>
      <c r="N270" s="37">
        <v>150000</v>
      </c>
      <c r="O270" s="149">
        <v>5796.8</v>
      </c>
      <c r="P270" s="43">
        <f t="shared" ref="P270:P278" si="50">SUM(D270:N270)</f>
        <v>774591.08</v>
      </c>
      <c r="Q270" s="43">
        <f t="shared" ref="Q270:Q278" si="51">SUM(D270:O270)</f>
        <v>780387.88</v>
      </c>
      <c r="R270" s="68">
        <f t="shared" ref="R270:R278" si="52">C270-Q270</f>
        <v>1379612.12</v>
      </c>
      <c r="S270" s="7"/>
    </row>
    <row r="271" spans="1:20" s="8" customFormat="1" ht="15" customHeight="1" x14ac:dyDescent="0.2">
      <c r="A271" s="12" t="s">
        <v>243</v>
      </c>
      <c r="B271" s="55" t="s">
        <v>196</v>
      </c>
      <c r="C271" s="88">
        <v>0</v>
      </c>
      <c r="D271" s="37"/>
      <c r="E271" s="37"/>
      <c r="F271" s="37"/>
      <c r="G271" s="37">
        <v>15618.21</v>
      </c>
      <c r="H271" s="37">
        <v>2992.92</v>
      </c>
      <c r="I271" s="37"/>
      <c r="J271" s="37"/>
      <c r="K271" s="37"/>
      <c r="L271" s="37"/>
      <c r="M271" s="37"/>
      <c r="N271" s="37"/>
      <c r="O271" s="149"/>
      <c r="P271" s="43">
        <f t="shared" si="50"/>
        <v>18611.129999999997</v>
      </c>
      <c r="Q271" s="43">
        <f t="shared" si="51"/>
        <v>18611.129999999997</v>
      </c>
      <c r="R271" s="68">
        <f t="shared" si="52"/>
        <v>-18611.129999999997</v>
      </c>
      <c r="S271" s="68"/>
    </row>
    <row r="272" spans="1:20" s="8" customFormat="1" ht="15" customHeight="1" x14ac:dyDescent="0.2">
      <c r="A272" s="12" t="s">
        <v>259</v>
      </c>
      <c r="B272" s="55" t="s">
        <v>196</v>
      </c>
      <c r="C272" s="88">
        <v>400000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>
        <v>320438.52</v>
      </c>
      <c r="N272" s="37">
        <v>51754.71</v>
      </c>
      <c r="O272" s="149">
        <v>30000</v>
      </c>
      <c r="P272" s="43">
        <f t="shared" si="50"/>
        <v>372193.23000000004</v>
      </c>
      <c r="Q272" s="43">
        <f t="shared" si="51"/>
        <v>402193.23000000004</v>
      </c>
      <c r="R272" s="68">
        <f t="shared" si="52"/>
        <v>-2193.2300000000396</v>
      </c>
      <c r="S272" s="68"/>
    </row>
    <row r="273" spans="1:21" s="8" customFormat="1" ht="15" customHeight="1" x14ac:dyDescent="0.2">
      <c r="A273" s="12" t="s">
        <v>258</v>
      </c>
      <c r="B273" s="55" t="s">
        <v>196</v>
      </c>
      <c r="C273" s="88">
        <v>800000</v>
      </c>
      <c r="D273" s="37"/>
      <c r="E273" s="37"/>
      <c r="F273" s="37"/>
      <c r="G273" s="37"/>
      <c r="H273" s="37"/>
      <c r="I273" s="37">
        <v>9079</v>
      </c>
      <c r="J273" s="37">
        <v>165628.5</v>
      </c>
      <c r="K273" s="37">
        <v>450776.32000000001</v>
      </c>
      <c r="L273" s="37">
        <v>-9619</v>
      </c>
      <c r="M273" s="37">
        <v>150800</v>
      </c>
      <c r="N273" s="37"/>
      <c r="O273" s="149"/>
      <c r="P273" s="43">
        <f t="shared" si="50"/>
        <v>766664.82000000007</v>
      </c>
      <c r="Q273" s="43">
        <f t="shared" si="51"/>
        <v>766664.82000000007</v>
      </c>
      <c r="R273" s="135">
        <f t="shared" si="52"/>
        <v>33335.179999999935</v>
      </c>
      <c r="S273" s="79"/>
    </row>
    <row r="274" spans="1:21" s="8" customFormat="1" ht="15" customHeight="1" x14ac:dyDescent="0.2">
      <c r="A274" s="12" t="s">
        <v>232</v>
      </c>
      <c r="B274" s="55" t="s">
        <v>196</v>
      </c>
      <c r="C274" s="88">
        <v>1500000</v>
      </c>
      <c r="D274" s="37">
        <v>0</v>
      </c>
      <c r="E274" s="37">
        <v>0</v>
      </c>
      <c r="F274" s="37">
        <v>715328.4</v>
      </c>
      <c r="G274" s="37">
        <v>251909</v>
      </c>
      <c r="H274" s="37">
        <v>87793.42</v>
      </c>
      <c r="I274" s="37">
        <v>365944.41</v>
      </c>
      <c r="J274" s="37"/>
      <c r="K274" s="37">
        <v>3657</v>
      </c>
      <c r="L274" s="37"/>
      <c r="M274" s="37">
        <v>52186.840000000004</v>
      </c>
      <c r="N274" s="37"/>
      <c r="O274" s="149">
        <v>3472.56</v>
      </c>
      <c r="P274" s="43">
        <f t="shared" si="50"/>
        <v>1476819.07</v>
      </c>
      <c r="Q274" s="43">
        <f t="shared" si="51"/>
        <v>1480291.6300000001</v>
      </c>
      <c r="R274" s="68">
        <f t="shared" si="52"/>
        <v>19708.369999999879</v>
      </c>
      <c r="S274" s="7"/>
    </row>
    <row r="275" spans="1:21" s="8" customFormat="1" ht="15" customHeight="1" x14ac:dyDescent="0.2">
      <c r="A275" s="12" t="s">
        <v>265</v>
      </c>
      <c r="B275" s="55" t="s">
        <v>196</v>
      </c>
      <c r="C275" s="88">
        <v>300000</v>
      </c>
      <c r="D275" s="37"/>
      <c r="E275" s="37"/>
      <c r="F275" s="37"/>
      <c r="G275" s="37"/>
      <c r="H275" s="37"/>
      <c r="I275" s="37"/>
      <c r="J275" s="37"/>
      <c r="K275" s="37">
        <v>207760</v>
      </c>
      <c r="L275" s="37">
        <v>89040</v>
      </c>
      <c r="M275" s="37"/>
      <c r="N275" s="37"/>
      <c r="O275" s="149"/>
      <c r="P275" s="43">
        <f t="shared" si="50"/>
        <v>296800</v>
      </c>
      <c r="Q275" s="43">
        <f t="shared" si="51"/>
        <v>296800</v>
      </c>
      <c r="R275" s="68">
        <f t="shared" si="52"/>
        <v>3200</v>
      </c>
      <c r="S275" s="7"/>
    </row>
    <row r="276" spans="1:21" s="8" customFormat="1" ht="15" customHeight="1" x14ac:dyDescent="0.2">
      <c r="A276" s="12" t="s">
        <v>257</v>
      </c>
      <c r="B276" s="55" t="s">
        <v>196</v>
      </c>
      <c r="C276" s="88">
        <v>107915.56</v>
      </c>
      <c r="D276" s="37"/>
      <c r="E276" s="37"/>
      <c r="F276" s="37"/>
      <c r="G276" s="37"/>
      <c r="H276" s="37"/>
      <c r="I276" s="37">
        <v>107915.56</v>
      </c>
      <c r="J276" s="37"/>
      <c r="K276" s="37"/>
      <c r="L276" s="37"/>
      <c r="M276" s="37"/>
      <c r="N276" s="37"/>
      <c r="O276" s="149"/>
      <c r="P276" s="43">
        <f t="shared" si="50"/>
        <v>107915.56</v>
      </c>
      <c r="Q276" s="43">
        <f t="shared" si="51"/>
        <v>107915.56</v>
      </c>
      <c r="R276" s="68">
        <f t="shared" si="52"/>
        <v>0</v>
      </c>
      <c r="S276" s="7"/>
    </row>
    <row r="277" spans="1:21" s="8" customFormat="1" ht="15" customHeight="1" x14ac:dyDescent="0.2">
      <c r="A277" s="12" t="s">
        <v>183</v>
      </c>
      <c r="B277" s="55" t="s">
        <v>196</v>
      </c>
      <c r="C277" s="88">
        <v>570000</v>
      </c>
      <c r="D277" s="37">
        <v>0</v>
      </c>
      <c r="E277" s="37">
        <v>0</v>
      </c>
      <c r="F277" s="37">
        <v>0</v>
      </c>
      <c r="G277" s="37">
        <v>109872.65</v>
      </c>
      <c r="H277" s="37">
        <v>436533.75</v>
      </c>
      <c r="I277" s="37">
        <v>0</v>
      </c>
      <c r="J277" s="37">
        <v>14224.92</v>
      </c>
      <c r="K277" s="37"/>
      <c r="L277" s="37"/>
      <c r="M277" s="37"/>
      <c r="N277" s="37"/>
      <c r="O277" s="149"/>
      <c r="P277" s="43">
        <f t="shared" si="50"/>
        <v>560631.32000000007</v>
      </c>
      <c r="Q277" s="43">
        <f t="shared" si="51"/>
        <v>560631.32000000007</v>
      </c>
      <c r="R277" s="135">
        <f t="shared" si="52"/>
        <v>9368.6799999999348</v>
      </c>
      <c r="S277" s="79"/>
    </row>
    <row r="278" spans="1:21" s="8" customFormat="1" ht="15" customHeight="1" x14ac:dyDescent="0.2">
      <c r="A278" s="12" t="s">
        <v>246</v>
      </c>
      <c r="B278" s="55" t="s">
        <v>196</v>
      </c>
      <c r="C278" s="115">
        <v>450000</v>
      </c>
      <c r="D278" s="37"/>
      <c r="E278" s="37"/>
      <c r="F278" s="37"/>
      <c r="G278" s="37"/>
      <c r="H278" s="37"/>
      <c r="I278" s="37">
        <v>434578.18</v>
      </c>
      <c r="J278" s="37"/>
      <c r="K278" s="37"/>
      <c r="L278" s="37"/>
      <c r="M278" s="37"/>
      <c r="N278" s="37"/>
      <c r="O278" s="149"/>
      <c r="P278" s="43">
        <f t="shared" si="50"/>
        <v>434578.18</v>
      </c>
      <c r="Q278" s="43">
        <f t="shared" si="51"/>
        <v>434578.18</v>
      </c>
      <c r="R278" s="135">
        <f t="shared" si="52"/>
        <v>15421.820000000007</v>
      </c>
      <c r="S278" s="79"/>
    </row>
    <row r="279" spans="1:21" s="8" customFormat="1" ht="15" customHeight="1" x14ac:dyDescent="0.2">
      <c r="A279" s="12"/>
      <c r="B279" s="55"/>
      <c r="C279" s="88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145"/>
      <c r="P279" s="43"/>
      <c r="Q279" s="43"/>
      <c r="R279" s="68"/>
      <c r="S279" s="79"/>
    </row>
    <row r="280" spans="1:21" ht="13.5" customHeight="1" x14ac:dyDescent="0.2">
      <c r="A280" s="119" t="s">
        <v>254</v>
      </c>
      <c r="B280" s="120"/>
      <c r="C280" s="121">
        <f>SUM(C270:C279)</f>
        <v>6287915.5599999996</v>
      </c>
      <c r="D280" s="122">
        <f t="shared" ref="D280:O280" si="53">SUM(D270:D278)</f>
        <v>75980.800000000003</v>
      </c>
      <c r="E280" s="122">
        <f t="shared" si="53"/>
        <v>0</v>
      </c>
      <c r="F280" s="122">
        <f t="shared" si="53"/>
        <v>715631.70000000007</v>
      </c>
      <c r="G280" s="122">
        <f t="shared" si="53"/>
        <v>384130.86</v>
      </c>
      <c r="H280" s="122">
        <f t="shared" si="53"/>
        <v>700351.85000000009</v>
      </c>
      <c r="I280" s="122">
        <f t="shared" si="53"/>
        <v>998152.45</v>
      </c>
      <c r="J280" s="122">
        <f t="shared" si="53"/>
        <v>181841.59000000003</v>
      </c>
      <c r="K280" s="122">
        <f t="shared" si="53"/>
        <v>719178.91999999993</v>
      </c>
      <c r="L280" s="122">
        <f t="shared" si="53"/>
        <v>174424.15</v>
      </c>
      <c r="M280" s="122">
        <f t="shared" si="53"/>
        <v>657357.36</v>
      </c>
      <c r="N280" s="122">
        <f t="shared" si="53"/>
        <v>201754.71</v>
      </c>
      <c r="O280" s="165">
        <f t="shared" si="53"/>
        <v>39269.360000000001</v>
      </c>
      <c r="P280" s="123">
        <f>SUM(D280:M280)</f>
        <v>4607049.68</v>
      </c>
      <c r="Q280" s="123">
        <f>SUM(D280:O280)</f>
        <v>4848073.75</v>
      </c>
    </row>
    <row r="281" spans="1:21" ht="13.5" customHeight="1" x14ac:dyDescent="0.2">
      <c r="A281" s="12"/>
      <c r="P281" s="43"/>
      <c r="Q281" s="43"/>
    </row>
    <row r="282" spans="1:21" s="7" customFormat="1" ht="18" customHeight="1" x14ac:dyDescent="0.2">
      <c r="A282" s="167" t="s">
        <v>278</v>
      </c>
      <c r="B282" s="167"/>
      <c r="C282" s="167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</row>
    <row r="283" spans="1:21" s="8" customFormat="1" ht="15" customHeight="1" x14ac:dyDescent="0.2">
      <c r="A283" s="12" t="s">
        <v>279</v>
      </c>
      <c r="B283" s="55" t="s">
        <v>280</v>
      </c>
      <c r="C283" s="88">
        <v>115680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>
        <v>6985.35</v>
      </c>
      <c r="N283" s="37">
        <v>84679.53</v>
      </c>
      <c r="O283" s="149">
        <v>24015.119999999995</v>
      </c>
      <c r="P283" s="43">
        <f>SUM(D283:M283)</f>
        <v>6985.35</v>
      </c>
      <c r="Q283" s="43">
        <f>SUM(D283:O283)</f>
        <v>115680</v>
      </c>
      <c r="R283" s="68">
        <f>C283-Q283</f>
        <v>0</v>
      </c>
      <c r="S283" s="7"/>
      <c r="U283" s="69"/>
    </row>
    <row r="284" spans="1:21" ht="13.5" customHeight="1" x14ac:dyDescent="0.2">
      <c r="A284" s="119" t="s">
        <v>254</v>
      </c>
      <c r="B284" s="120"/>
      <c r="C284" s="121"/>
      <c r="D284" s="122">
        <f>SUM(D283)</f>
        <v>0</v>
      </c>
      <c r="E284" s="122">
        <f t="shared" ref="E284:O284" si="54">SUM(E283)</f>
        <v>0</v>
      </c>
      <c r="F284" s="122">
        <f t="shared" si="54"/>
        <v>0</v>
      </c>
      <c r="G284" s="122">
        <f t="shared" si="54"/>
        <v>0</v>
      </c>
      <c r="H284" s="122">
        <f t="shared" si="54"/>
        <v>0</v>
      </c>
      <c r="I284" s="122">
        <f t="shared" si="54"/>
        <v>0</v>
      </c>
      <c r="J284" s="122">
        <f t="shared" si="54"/>
        <v>0</v>
      </c>
      <c r="K284" s="122">
        <f t="shared" si="54"/>
        <v>0</v>
      </c>
      <c r="L284" s="122">
        <f t="shared" si="54"/>
        <v>0</v>
      </c>
      <c r="M284" s="122">
        <f t="shared" si="54"/>
        <v>6985.35</v>
      </c>
      <c r="N284" s="122">
        <f t="shared" si="54"/>
        <v>84679.53</v>
      </c>
      <c r="O284" s="165">
        <f t="shared" si="54"/>
        <v>24015.119999999995</v>
      </c>
      <c r="P284" s="122">
        <f>SUM(P283)</f>
        <v>6985.35</v>
      </c>
      <c r="Q284" s="122">
        <f>SUM(Q283)</f>
        <v>115680</v>
      </c>
    </row>
    <row r="285" spans="1:21" ht="14.25" customHeight="1" x14ac:dyDescent="0.2"/>
    <row r="286" spans="1:21" s="108" customFormat="1" ht="18.75" customHeight="1" thickBot="1" x14ac:dyDescent="0.25">
      <c r="A286" s="108" t="s">
        <v>253</v>
      </c>
      <c r="B286" s="109"/>
      <c r="C286" s="110"/>
      <c r="D286" s="111">
        <f>D260+D280+D284</f>
        <v>855773.99000000011</v>
      </c>
      <c r="E286" s="111">
        <f t="shared" ref="E286:P286" si="55">E260+E280+E284</f>
        <v>395231.50999999995</v>
      </c>
      <c r="F286" s="111">
        <f t="shared" si="55"/>
        <v>1286301.3799999999</v>
      </c>
      <c r="G286" s="111">
        <f t="shared" si="55"/>
        <v>1236432.44</v>
      </c>
      <c r="H286" s="111">
        <f t="shared" si="55"/>
        <v>1636581.31</v>
      </c>
      <c r="I286" s="111">
        <f t="shared" si="55"/>
        <v>1704811.28</v>
      </c>
      <c r="J286" s="111">
        <f t="shared" si="55"/>
        <v>1155485.1200000001</v>
      </c>
      <c r="K286" s="111">
        <f t="shared" si="55"/>
        <v>1383123.43</v>
      </c>
      <c r="L286" s="111">
        <f t="shared" si="55"/>
        <v>669959.42000000004</v>
      </c>
      <c r="M286" s="111">
        <f>M260+M280+M284</f>
        <v>1653207.48</v>
      </c>
      <c r="N286" s="111">
        <f>N260+N280+N284</f>
        <v>605721.56000000006</v>
      </c>
      <c r="O286" s="166">
        <f t="shared" si="55"/>
        <v>2183281.5579999997</v>
      </c>
      <c r="P286" s="111">
        <f t="shared" si="55"/>
        <v>12296194.68</v>
      </c>
      <c r="Q286" s="111"/>
    </row>
    <row r="288" spans="1:21" hidden="1" x14ac:dyDescent="0.2">
      <c r="D288" s="71">
        <v>847474.19</v>
      </c>
      <c r="E288" s="71">
        <v>393132.51</v>
      </c>
      <c r="F288" s="71">
        <v>1286301.3800000001</v>
      </c>
      <c r="G288" s="71">
        <v>1236432.44</v>
      </c>
      <c r="H288" s="71">
        <v>1582574.51</v>
      </c>
      <c r="I288" s="71">
        <v>1704811.28</v>
      </c>
      <c r="J288" s="71">
        <v>1155485.1200000001</v>
      </c>
      <c r="K288" s="71">
        <v>1383123.4300000002</v>
      </c>
      <c r="L288" s="71">
        <v>669959.42000000004</v>
      </c>
      <c r="O288" s="159">
        <v>1771346.08790361</v>
      </c>
    </row>
    <row r="289" spans="4:15" hidden="1" x14ac:dyDescent="0.2"/>
    <row r="290" spans="4:15" hidden="1" x14ac:dyDescent="0.2">
      <c r="D290" s="71">
        <f>D286-D288</f>
        <v>8299.800000000163</v>
      </c>
      <c r="E290" s="71">
        <f t="shared" ref="E290:L290" si="56">E286-E288</f>
        <v>2098.9999999999418</v>
      </c>
      <c r="F290" s="71">
        <f t="shared" si="56"/>
        <v>0</v>
      </c>
      <c r="G290" s="71">
        <f t="shared" si="56"/>
        <v>0</v>
      </c>
      <c r="H290" s="71">
        <f>H286-H288</f>
        <v>54006.800000000047</v>
      </c>
      <c r="I290" s="71">
        <f>I286-I288</f>
        <v>0</v>
      </c>
      <c r="J290" s="71">
        <f>J286-J288</f>
        <v>0</v>
      </c>
      <c r="K290" s="71">
        <f t="shared" si="56"/>
        <v>0</v>
      </c>
      <c r="L290" s="71">
        <f t="shared" si="56"/>
        <v>0</v>
      </c>
      <c r="O290" s="159">
        <f>O286-O288</f>
        <v>411935.47009638976</v>
      </c>
    </row>
    <row r="291" spans="4:15" hidden="1" x14ac:dyDescent="0.2"/>
    <row r="292" spans="4:15" hidden="1" x14ac:dyDescent="0.2"/>
    <row r="293" spans="4:15" hidden="1" x14ac:dyDescent="0.2">
      <c r="D293" s="71">
        <f t="shared" ref="D293:E293" si="57">D270+D271</f>
        <v>75980.800000000003</v>
      </c>
      <c r="E293" s="71">
        <f t="shared" si="57"/>
        <v>0</v>
      </c>
      <c r="F293" s="71">
        <f>F270+F271</f>
        <v>303.3</v>
      </c>
      <c r="G293" s="71">
        <f t="shared" ref="G293:J293" si="58">G270+G271</f>
        <v>22349.21</v>
      </c>
      <c r="H293" s="71">
        <f t="shared" si="58"/>
        <v>176024.68000000002</v>
      </c>
      <c r="I293" s="71">
        <f t="shared" si="58"/>
        <v>80635.3</v>
      </c>
      <c r="J293" s="71">
        <f t="shared" si="58"/>
        <v>1988.17</v>
      </c>
    </row>
    <row r="294" spans="4:15" hidden="1" x14ac:dyDescent="0.2"/>
    <row r="295" spans="4:15" hidden="1" x14ac:dyDescent="0.2"/>
    <row r="296" spans="4:15" x14ac:dyDescent="0.2">
      <c r="D296" s="71">
        <v>847474.19</v>
      </c>
      <c r="E296" s="71">
        <v>393132.51</v>
      </c>
      <c r="F296" s="71">
        <v>1286301.3799999999</v>
      </c>
      <c r="G296" s="71">
        <v>1236432.44</v>
      </c>
      <c r="H296" s="71">
        <v>1582574.51</v>
      </c>
      <c r="I296" s="71">
        <v>1704811.28</v>
      </c>
      <c r="J296" s="71">
        <v>1155485.1200000001</v>
      </c>
      <c r="K296" s="71">
        <v>1383123.43</v>
      </c>
      <c r="L296" s="71">
        <v>669959.42000000004</v>
      </c>
      <c r="M296" s="71">
        <v>1653207.48</v>
      </c>
    </row>
    <row r="297" spans="4:15" x14ac:dyDescent="0.2"/>
  </sheetData>
  <autoFilter ref="A4:Q261"/>
  <mergeCells count="20">
    <mergeCell ref="A93:Q93"/>
    <mergeCell ref="A1:Q1"/>
    <mergeCell ref="A6:Q6"/>
    <mergeCell ref="A18:Q18"/>
    <mergeCell ref="A20:Q20"/>
    <mergeCell ref="A85:Q85"/>
    <mergeCell ref="A68:Q68"/>
    <mergeCell ref="P3:P4"/>
    <mergeCell ref="Q3:Q4"/>
    <mergeCell ref="D3:L3"/>
    <mergeCell ref="A102:Q102"/>
    <mergeCell ref="A159:Q159"/>
    <mergeCell ref="A196:Q196"/>
    <mergeCell ref="A239:Q239"/>
    <mergeCell ref="A247:Q247"/>
    <mergeCell ref="A282:Q282"/>
    <mergeCell ref="A268:Q268"/>
    <mergeCell ref="A257:Q257"/>
    <mergeCell ref="A210:Q210"/>
    <mergeCell ref="A232:Q232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6" max="16" man="1"/>
    <brk id="194" max="16383" man="1"/>
    <brk id="244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73" t="s">
        <v>13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 s="3" customFormat="1" x14ac:dyDescent="0.2">
      <c r="A2" s="180"/>
      <c r="B2" s="180"/>
      <c r="C2" s="180"/>
      <c r="D2" s="180"/>
      <c r="E2" s="180"/>
      <c r="F2" s="180"/>
      <c r="G2" s="180"/>
      <c r="H2" s="180"/>
      <c r="Q2" s="4"/>
    </row>
    <row r="4" spans="1:17" s="21" customFormat="1" ht="20.100000000000001" customHeight="1" x14ac:dyDescent="0.2">
      <c r="A4" s="179" t="s">
        <v>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22" spans="1:17" s="21" customFormat="1" ht="20.100000000000001" customHeight="1" x14ac:dyDescent="0.2">
      <c r="A22" s="179" t="s">
        <v>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5" spans="1:17" x14ac:dyDescent="0.2">
      <c r="C25" s="22" t="str">
        <f>'Budget Tracking for 2017'!D4</f>
        <v>JAN</v>
      </c>
      <c r="D25" s="22" t="str">
        <f>'Budget Tracking for 2017'!E4</f>
        <v>FEB</v>
      </c>
      <c r="E25" s="22" t="str">
        <f>'Budget Tracking for 2017'!F4</f>
        <v>MAR</v>
      </c>
      <c r="F25" s="22" t="str">
        <f>'Budget Tracking for 2017'!G4</f>
        <v>APR</v>
      </c>
      <c r="G25" s="22" t="str">
        <f>'Budget Tracking for 2017'!H4</f>
        <v>MAY</v>
      </c>
      <c r="H25" s="22" t="str">
        <f>'Budget Tracking for 2017'!I4</f>
        <v>JUN</v>
      </c>
      <c r="I25" s="22" t="str">
        <f>'Budget Tracking for 2017'!J4</f>
        <v>JUL</v>
      </c>
      <c r="J25" s="22" t="str">
        <f>'Budget Tracking for 2017'!K4</f>
        <v>AUG</v>
      </c>
      <c r="K25" s="22" t="e">
        <f>'Budget Tracking for 2017'!#REF!</f>
        <v>#REF!</v>
      </c>
      <c r="L25" s="22" t="e">
        <f>'Budget Tracking for 2017'!#REF!</f>
        <v>#REF!</v>
      </c>
      <c r="M25" s="22" t="e">
        <f>'Budget Tracking for 2017'!#REF!</f>
        <v>#REF!</v>
      </c>
      <c r="N25" s="22" t="str">
        <f>'Budget Tracking for 2017'!O4</f>
        <v>DEC</v>
      </c>
      <c r="O25" s="22" t="str">
        <f>'Budget Tracking for 2017'!Q3</f>
        <v>TOTAL (YEARLY)</v>
      </c>
    </row>
    <row r="26" spans="1:17" x14ac:dyDescent="0.2">
      <c r="B26" s="2" t="str">
        <f>'Budget Tracking for 2017'!A20</f>
        <v>OPERATING EXPENSES (OPEX) - PGT</v>
      </c>
      <c r="C26" s="23">
        <f>'Budget Tracking for 2017'!D66</f>
        <v>106259.38999999998</v>
      </c>
      <c r="D26" s="23">
        <f>'Budget Tracking for 2017'!E66</f>
        <v>150275.01999999999</v>
      </c>
      <c r="E26" s="23">
        <f>'Budget Tracking for 2017'!F66</f>
        <v>118618.90000000001</v>
      </c>
      <c r="F26" s="23">
        <f>'Budget Tracking for 2017'!G66</f>
        <v>112171.48</v>
      </c>
      <c r="G26" s="23">
        <f>'Budget Tracking for 2017'!H66</f>
        <v>118490.79999999999</v>
      </c>
      <c r="H26" s="23">
        <f>'Budget Tracking for 2017'!I66</f>
        <v>171177.33</v>
      </c>
      <c r="I26" s="23">
        <f>'Budget Tracking for 2017'!J66</f>
        <v>116466.81999999999</v>
      </c>
      <c r="J26" s="23">
        <f>'Budget Tracking for 2017'!K66</f>
        <v>120377.60999999999</v>
      </c>
      <c r="K26" s="23" t="e">
        <f>'Budget Tracking for 2017'!#REF!</f>
        <v>#REF!</v>
      </c>
      <c r="L26" s="23" t="e">
        <f>'Budget Tracking for 2017'!#REF!</f>
        <v>#REF!</v>
      </c>
      <c r="M26" s="23" t="e">
        <f>'Budget Tracking for 2017'!#REF!</f>
        <v>#REF!</v>
      </c>
      <c r="N26" s="23">
        <f>'Budget Tracking for 2017'!O66</f>
        <v>231630.94799999997</v>
      </c>
      <c r="O26" s="23">
        <f>'Budget Tracking for 2017'!Q66</f>
        <v>1603976.2879999997</v>
      </c>
    </row>
    <row r="27" spans="1:17" x14ac:dyDescent="0.2">
      <c r="B27" s="2" t="str">
        <f>'Budget Tracking for 2017'!A85</f>
        <v>CAPITAL EXPENDITURE (CAPEX) - PGT</v>
      </c>
      <c r="C27" s="23">
        <f>'Budget Tracking for 2017'!D91</f>
        <v>8299.7999999999993</v>
      </c>
      <c r="D27" s="23">
        <f>'Budget Tracking for 2017'!E91</f>
        <v>2099</v>
      </c>
      <c r="E27" s="23">
        <f>'Budget Tracking for 2017'!F91</f>
        <v>0</v>
      </c>
      <c r="F27" s="23">
        <f>'Budget Tracking for 2017'!G91</f>
        <v>0</v>
      </c>
      <c r="G27" s="23">
        <f>'Budget Tracking for 2017'!H91</f>
        <v>4006.8</v>
      </c>
      <c r="H27" s="23">
        <f>'Budget Tracking for 2017'!I91</f>
        <v>0</v>
      </c>
      <c r="I27" s="23">
        <f>'Budget Tracking for 2017'!J91</f>
        <v>0</v>
      </c>
      <c r="J27" s="23">
        <f>'Budget Tracking for 2017'!K91</f>
        <v>0</v>
      </c>
      <c r="K27" s="23" t="e">
        <f>'Budget Tracking for 2017'!#REF!</f>
        <v>#REF!</v>
      </c>
      <c r="L27" s="23" t="e">
        <f>'Budget Tracking for 2017'!#REF!</f>
        <v>#REF!</v>
      </c>
      <c r="M27" s="23" t="e">
        <f>'Budget Tracking for 2017'!#REF!</f>
        <v>#REF!</v>
      </c>
      <c r="N27" s="23">
        <f>'Budget Tracking for 2017'!O91</f>
        <v>4600</v>
      </c>
      <c r="O27" s="23">
        <f>'Budget Tracking for 2017'!Q91</f>
        <v>19005.599999999999</v>
      </c>
    </row>
    <row r="28" spans="1:17" x14ac:dyDescent="0.2">
      <c r="B28" s="2" t="str">
        <f>'Budget Tracking for 2017'!A102</f>
        <v>MARKETING/TOURISM PROMOTION</v>
      </c>
      <c r="C28" s="23">
        <f>'Budget Tracking for 2017'!D157</f>
        <v>18686.43</v>
      </c>
      <c r="D28" s="23">
        <f>'Budget Tracking for 2017'!E157</f>
        <v>117253.26999999999</v>
      </c>
      <c r="E28" s="23">
        <f>'Budget Tracking for 2017'!F157</f>
        <v>79569.060000000012</v>
      </c>
      <c r="F28" s="23">
        <f>'Budget Tracking for 2017'!G157</f>
        <v>52791.859999999993</v>
      </c>
      <c r="G28" s="23">
        <f>'Budget Tracking for 2017'!H157</f>
        <v>47212.5</v>
      </c>
      <c r="H28" s="23">
        <f>'Budget Tracking for 2017'!I157</f>
        <v>286221.24</v>
      </c>
      <c r="I28" s="23">
        <f>'Budget Tracking for 2017'!J157</f>
        <v>252640.72999999998</v>
      </c>
      <c r="J28" s="23">
        <f>'Budget Tracking for 2017'!K157</f>
        <v>190949.13000000003</v>
      </c>
      <c r="K28" s="23" t="e">
        <f>'Budget Tracking for 2017'!#REF!</f>
        <v>#REF!</v>
      </c>
      <c r="L28" s="23" t="e">
        <f>'Budget Tracking for 2017'!#REF!</f>
        <v>#REF!</v>
      </c>
      <c r="M28" s="23" t="e">
        <f>'Budget Tracking for 2017'!#REF!</f>
        <v>#REF!</v>
      </c>
      <c r="N28" s="23">
        <f>'Budget Tracking for 2017'!O157</f>
        <v>697076.87</v>
      </c>
      <c r="O28" s="23">
        <f>'Budget Tracking for 2017'!Q157</f>
        <v>2129037.8099999996</v>
      </c>
    </row>
    <row r="29" spans="1:17" x14ac:dyDescent="0.2">
      <c r="B29" s="2" t="str">
        <f>'Budget Tracking for 2017'!A159</f>
        <v>COMMUNICATIONS</v>
      </c>
      <c r="C29" s="23">
        <f>'Budget Tracking for 2017'!D194</f>
        <v>24370.63</v>
      </c>
      <c r="D29" s="23">
        <f>'Budget Tracking for 2017'!E194</f>
        <v>31605.66</v>
      </c>
      <c r="E29" s="23">
        <f>'Budget Tracking for 2017'!F194</f>
        <v>121293.59</v>
      </c>
      <c r="F29" s="23">
        <f>'Budget Tracking for 2017'!G194</f>
        <v>77087.38</v>
      </c>
      <c r="G29" s="23">
        <f>'Budget Tracking for 2017'!H194</f>
        <v>97596.62000000001</v>
      </c>
      <c r="H29" s="23">
        <f>'Budget Tracking for 2017'!I194</f>
        <v>164960.33000000002</v>
      </c>
      <c r="I29" s="23">
        <f>'Budget Tracking for 2017'!J194</f>
        <v>475745.91000000003</v>
      </c>
      <c r="J29" s="23">
        <f>'Budget Tracking for 2017'!K194</f>
        <v>52444.390000000007</v>
      </c>
      <c r="K29" s="23" t="e">
        <f>'Budget Tracking for 2017'!#REF!</f>
        <v>#REF!</v>
      </c>
      <c r="L29" s="23" t="e">
        <f>'Budget Tracking for 2017'!#REF!</f>
        <v>#REF!</v>
      </c>
      <c r="M29" s="23" t="e">
        <f>'Budget Tracking for 2017'!#REF!</f>
        <v>#REF!</v>
      </c>
      <c r="N29" s="23">
        <f>'Budget Tracking for 2017'!O194</f>
        <v>691409.25</v>
      </c>
      <c r="O29" s="23">
        <f>'Budget Tracking for 2017'!Q194</f>
        <v>2277071.7999999998</v>
      </c>
    </row>
    <row r="30" spans="1:17" x14ac:dyDescent="0.2">
      <c r="B30" s="2" t="str">
        <f>'Budget Tracking for 2017'!A196</f>
        <v>EVENTS</v>
      </c>
      <c r="C30" s="23">
        <f>'Budget Tracking for 2017'!D208</f>
        <v>634226.91</v>
      </c>
      <c r="D30" s="23">
        <f>'Budget Tracking for 2017'!E208</f>
        <v>57076.7</v>
      </c>
      <c r="E30" s="23">
        <f>'Budget Tracking for 2017'!F208</f>
        <v>95508.34</v>
      </c>
      <c r="F30" s="23">
        <f>'Budget Tracking for 2017'!G208</f>
        <v>31489.34</v>
      </c>
      <c r="G30" s="23">
        <f>'Budget Tracking for 2017'!H208</f>
        <v>487428.85</v>
      </c>
      <c r="H30" s="23">
        <f>'Budget Tracking for 2017'!I208</f>
        <v>49714.81</v>
      </c>
      <c r="I30" s="23">
        <f>'Budget Tracking for 2017'!J208</f>
        <v>23903.019999999997</v>
      </c>
      <c r="J30" s="23">
        <f>'Budget Tracking for 2017'!K208</f>
        <v>11150.220000000001</v>
      </c>
      <c r="K30" s="23" t="e">
        <f>'Budget Tracking for 2017'!#REF!</f>
        <v>#REF!</v>
      </c>
      <c r="L30" s="23" t="e">
        <f>'Budget Tracking for 2017'!#REF!</f>
        <v>#REF!</v>
      </c>
      <c r="M30" s="23" t="e">
        <f>'Budget Tracking for 2017'!#REF!</f>
        <v>#REF!</v>
      </c>
      <c r="N30" s="23">
        <f>'Budget Tracking for 2017'!O208</f>
        <v>89745</v>
      </c>
      <c r="O30" s="23">
        <f>'Budget Tracking for 2017'!Q208</f>
        <v>1576716.7099999997</v>
      </c>
    </row>
    <row r="31" spans="1:17" x14ac:dyDescent="0.2">
      <c r="B31" s="2" t="str">
        <f>'Budget Tracking for 2017'!A210</f>
        <v>TOURISM SERVICES</v>
      </c>
      <c r="C31" s="23">
        <f>'Budget Tracking for 2017'!D230</f>
        <v>7960.34</v>
      </c>
      <c r="D31" s="23">
        <f>'Budget Tracking for 2017'!E230</f>
        <v>13020</v>
      </c>
      <c r="E31" s="23">
        <f>'Budget Tracking for 2017'!F230</f>
        <v>89836.05</v>
      </c>
      <c r="F31" s="23">
        <f>'Budget Tracking for 2017'!G230</f>
        <v>36236.060000000005</v>
      </c>
      <c r="G31" s="23">
        <f>'Budget Tracking for 2017'!H230</f>
        <v>74509.459999999992</v>
      </c>
      <c r="H31" s="23">
        <f>'Budget Tracking for 2017'!I230</f>
        <v>18479.25</v>
      </c>
      <c r="I31" s="23">
        <f>'Budget Tracking for 2017'!J230</f>
        <v>33563.479999999996</v>
      </c>
      <c r="J31" s="23">
        <f>'Budget Tracking for 2017'!K230</f>
        <v>24526.14</v>
      </c>
      <c r="K31" s="23" t="e">
        <f>'Budget Tracking for 2017'!#REF!</f>
        <v>#REF!</v>
      </c>
      <c r="L31" s="23" t="e">
        <f>'Budget Tracking for 2017'!#REF!</f>
        <v>#REF!</v>
      </c>
      <c r="M31" s="23" t="e">
        <f>'Budget Tracking for 2017'!#REF!</f>
        <v>#REF!</v>
      </c>
      <c r="N31" s="23">
        <f>'Budget Tracking for 2017'!O230</f>
        <v>236349.4</v>
      </c>
      <c r="O31" s="23">
        <f>'Budget Tracking for 2017'!Q230</f>
        <v>640498.31000000006</v>
      </c>
    </row>
    <row r="32" spans="1:17" x14ac:dyDescent="0.2">
      <c r="B32" s="2" t="str">
        <f>'Budget Tracking for 2017'!A232</f>
        <v xml:space="preserve">PENANG CENTRE OF EDUCATION TOURISM </v>
      </c>
      <c r="C32" s="23">
        <f>'Budget Tracking for 2017'!D237</f>
        <v>-13750</v>
      </c>
      <c r="D32" s="23">
        <f>'Budget Tracking for 2017'!E237</f>
        <v>0</v>
      </c>
      <c r="E32" s="23">
        <f>'Budget Tracking for 2017'!F237</f>
        <v>2212.8000000000002</v>
      </c>
      <c r="F32" s="23">
        <f>'Budget Tracking for 2017'!G237</f>
        <v>3498.49</v>
      </c>
      <c r="G32" s="23">
        <f>'Budget Tracking for 2017'!H237</f>
        <v>-17822.8</v>
      </c>
      <c r="H32" s="23">
        <f>'Budget Tracking for 2017'!I237</f>
        <v>-8160</v>
      </c>
      <c r="I32" s="23">
        <f>'Budget Tracking for 2017'!J237</f>
        <v>39758.949999999997</v>
      </c>
      <c r="J32" s="23">
        <f>'Budget Tracking for 2017'!K237</f>
        <v>4646.37</v>
      </c>
      <c r="K32" s="23" t="e">
        <f>'Budget Tracking for 2017'!#REF!</f>
        <v>#REF!</v>
      </c>
      <c r="L32" s="23" t="e">
        <f>'Budget Tracking for 2017'!#REF!</f>
        <v>#REF!</v>
      </c>
      <c r="M32" s="23" t="e">
        <f>'Budget Tracking for 2017'!#REF!</f>
        <v>#REF!</v>
      </c>
      <c r="N32" s="23">
        <f>'Budget Tracking for 2017'!O237</f>
        <v>65653.179999999993</v>
      </c>
      <c r="O32" s="23">
        <f>'Budget Tracking for 2017'!Q237</f>
        <v>160332.63</v>
      </c>
    </row>
    <row r="33" spans="2:15" x14ac:dyDescent="0.2">
      <c r="B33" s="2" t="str">
        <f>'Budget Tracking for 2017'!A239</f>
        <v xml:space="preserve">PENANG CENTRE MEDICAL TOURISM </v>
      </c>
      <c r="C33" s="23">
        <f>'Budget Tracking for 2017'!D244</f>
        <v>-22000</v>
      </c>
      <c r="D33" s="23">
        <f>'Budget Tracking for 2017'!E244</f>
        <v>4932</v>
      </c>
      <c r="E33" s="23">
        <f>'Budget Tracking for 2017'!F244</f>
        <v>46385</v>
      </c>
      <c r="F33" s="23">
        <f>'Budget Tracking for 2017'!G244</f>
        <v>32651.5</v>
      </c>
      <c r="G33" s="23">
        <f>'Budget Tracking for 2017'!H244</f>
        <v>0</v>
      </c>
      <c r="H33" s="23">
        <f>'Budget Tracking for 2017'!I244</f>
        <v>0</v>
      </c>
      <c r="I33" s="23">
        <f>'Budget Tracking for 2017'!J244</f>
        <v>1335.6</v>
      </c>
      <c r="J33" s="23">
        <f>'Budget Tracking for 2017'!K244</f>
        <v>6346.24</v>
      </c>
      <c r="K33" s="23" t="e">
        <f>'Budget Tracking for 2017'!#REF!</f>
        <v>#REF!</v>
      </c>
      <c r="L33" s="23" t="e">
        <f>'Budget Tracking for 2017'!#REF!</f>
        <v>#REF!</v>
      </c>
      <c r="M33" s="23" t="e">
        <f>'Budget Tracking for 2017'!#REF!</f>
        <v>#REF!</v>
      </c>
      <c r="N33" s="23">
        <f>'Budget Tracking for 2017'!O244</f>
        <v>14216.990000000002</v>
      </c>
      <c r="O33" s="23">
        <f>'Budget Tracking for 2017'!Q244</f>
        <v>100524.83000000002</v>
      </c>
    </row>
    <row r="34" spans="2:15" x14ac:dyDescent="0.2">
      <c r="B34" s="22" t="str">
        <f>'Budget Tracking for 2017'!A247</f>
        <v>OTHERS</v>
      </c>
      <c r="C34" s="23">
        <f>'Budget Tracking for 2017'!D254</f>
        <v>597064.47</v>
      </c>
      <c r="D34" s="23">
        <f>'Budget Tracking for 2017'!E254</f>
        <v>196346</v>
      </c>
      <c r="E34" s="23">
        <f>'Budget Tracking for 2017'!F254</f>
        <v>42096</v>
      </c>
      <c r="F34" s="23">
        <f>'Budget Tracking for 2017'!G254</f>
        <v>503229.43000000005</v>
      </c>
      <c r="G34" s="23">
        <f>'Budget Tracking for 2017'!H254</f>
        <v>154829.93</v>
      </c>
      <c r="H34" s="23">
        <f>'Budget Tracking for 2017'!I254</f>
        <v>0</v>
      </c>
      <c r="I34" s="23">
        <f>'Budget Tracking for 2017'!J254</f>
        <v>9358.93</v>
      </c>
      <c r="J34" s="23">
        <f>'Budget Tracking for 2017'!K254</f>
        <v>242880.19</v>
      </c>
      <c r="K34" s="23" t="e">
        <f>'Budget Tracking for 2017'!#REF!</f>
        <v>#REF!</v>
      </c>
      <c r="L34" s="23" t="e">
        <f>'Budget Tracking for 2017'!#REF!</f>
        <v>#REF!</v>
      </c>
      <c r="M34" s="23" t="e">
        <f>'Budget Tracking for 2017'!#REF!</f>
        <v>#REF!</v>
      </c>
      <c r="N34" s="23">
        <f>'Budget Tracking for 2017'!O254</f>
        <v>63150</v>
      </c>
      <c r="O34" s="23">
        <f>'Budget Tracking for 2017'!Q254</f>
        <v>1968843.2200000002</v>
      </c>
    </row>
    <row r="35" spans="2:15" x14ac:dyDescent="0.2">
      <c r="B35" s="2" t="e">
        <f>'Budget Tracking for 2017'!#REF!</f>
        <v>#REF!</v>
      </c>
      <c r="C35" s="23" t="e">
        <f>'Budget Tracking for 2017'!#REF!</f>
        <v>#REF!</v>
      </c>
      <c r="D35" s="23" t="e">
        <f>'Budget Tracking for 2017'!#REF!</f>
        <v>#REF!</v>
      </c>
      <c r="E35" s="23" t="e">
        <f>'Budget Tracking for 2017'!#REF!</f>
        <v>#REF!</v>
      </c>
      <c r="F35" s="23" t="e">
        <f>'Budget Tracking for 2017'!#REF!</f>
        <v>#REF!</v>
      </c>
      <c r="G35" s="23" t="e">
        <f>'Budget Tracking for 2017'!#REF!</f>
        <v>#REF!</v>
      </c>
      <c r="H35" s="23" t="e">
        <f>'Budget Tracking for 2017'!#REF!</f>
        <v>#REF!</v>
      </c>
      <c r="I35" s="23" t="e">
        <f>'Budget Tracking for 2017'!#REF!</f>
        <v>#REF!</v>
      </c>
      <c r="J35" s="23" t="e">
        <f>'Budget Tracking for 2017'!#REF!</f>
        <v>#REF!</v>
      </c>
      <c r="K35" s="23" t="e">
        <f>'Budget Tracking for 2017'!#REF!</f>
        <v>#REF!</v>
      </c>
      <c r="L35" s="23" t="e">
        <f>'Budget Tracking for 2017'!#REF!</f>
        <v>#REF!</v>
      </c>
      <c r="M35" s="23" t="e">
        <f>'Budget Tracking for 2017'!#REF!</f>
        <v>#REF!</v>
      </c>
      <c r="N35" s="23" t="e">
        <f>'Budget Tracking for 2017'!#REF!</f>
        <v>#REF!</v>
      </c>
      <c r="O35" s="23" t="e">
        <f>'Budget Tracking for 2017'!#REF!</f>
        <v>#REF!</v>
      </c>
    </row>
    <row r="36" spans="2:15" x14ac:dyDescent="0.2">
      <c r="B36" s="2" t="e">
        <f>'Budget Tracking for 2017'!#REF!</f>
        <v>#REF!</v>
      </c>
      <c r="C36" s="23" t="e">
        <f>'Budget Tracking for 2017'!#REF!</f>
        <v>#REF!</v>
      </c>
      <c r="D36" s="23" t="e">
        <f>'Budget Tracking for 2017'!#REF!</f>
        <v>#REF!</v>
      </c>
      <c r="E36" s="23" t="e">
        <f>'Budget Tracking for 2017'!#REF!</f>
        <v>#REF!</v>
      </c>
      <c r="F36" s="23" t="e">
        <f>'Budget Tracking for 2017'!#REF!</f>
        <v>#REF!</v>
      </c>
      <c r="G36" s="23" t="e">
        <f>'Budget Tracking for 2017'!#REF!</f>
        <v>#REF!</v>
      </c>
      <c r="H36" s="23" t="e">
        <f>'Budget Tracking for 2017'!#REF!</f>
        <v>#REF!</v>
      </c>
      <c r="I36" s="23" t="e">
        <f>'Budget Tracking for 2017'!#REF!</f>
        <v>#REF!</v>
      </c>
      <c r="J36" s="23" t="e">
        <f>'Budget Tracking for 2017'!#REF!</f>
        <v>#REF!</v>
      </c>
      <c r="K36" s="23" t="e">
        <f>'Budget Tracking for 2017'!#REF!</f>
        <v>#REF!</v>
      </c>
      <c r="L36" s="23" t="e">
        <f>'Budget Tracking for 2017'!#REF!</f>
        <v>#REF!</v>
      </c>
      <c r="M36" s="23" t="e">
        <f>'Budget Tracking for 2017'!#REF!</f>
        <v>#REF!</v>
      </c>
      <c r="N36" s="23" t="e">
        <f>'Budget Tracking for 2017'!#REF!</f>
        <v>#REF!</v>
      </c>
      <c r="O36" s="23" t="e">
        <f>'Budget Tracking for 2017'!#REF!</f>
        <v>#REF!</v>
      </c>
    </row>
    <row r="93" spans="1:17" s="21" customFormat="1" ht="20.100000000000001" customHeight="1" x14ac:dyDescent="0.2">
      <c r="A93" s="179" t="s">
        <v>15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</row>
    <row r="117" spans="1:17" s="21" customFormat="1" ht="20.100000000000001" customHeight="1" x14ac:dyDescent="0.2">
      <c r="A117" s="179" t="s">
        <v>116</v>
      </c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Tracking for 2017</vt:lpstr>
      <vt:lpstr>Dashboards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2017-12-08T01:20:35Z</cp:lastPrinted>
  <dcterms:created xsi:type="dcterms:W3CDTF">2001-05-18T00:29:33Z</dcterms:created>
  <dcterms:modified xsi:type="dcterms:W3CDTF">2017-12-21T11:42:38Z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